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Видатки" sheetId="1" r:id="rId1"/>
  </sheets>
  <calcPr calcId="125725"/>
</workbook>
</file>

<file path=xl/calcChain.xml><?xml version="1.0" encoding="utf-8"?>
<calcChain xmlns="http://schemas.openxmlformats.org/spreadsheetml/2006/main">
  <c r="H85" i="1"/>
  <c r="G85"/>
  <c r="E85"/>
  <c r="G84"/>
  <c r="G83" s="1"/>
  <c r="E84"/>
  <c r="H83"/>
  <c r="F83"/>
  <c r="E83"/>
  <c r="D83"/>
  <c r="J81"/>
  <c r="F81"/>
  <c r="E81"/>
  <c r="D81"/>
  <c r="K80"/>
  <c r="I80"/>
  <c r="G80"/>
  <c r="K79"/>
  <c r="I79"/>
  <c r="K78"/>
  <c r="I78"/>
  <c r="J77"/>
  <c r="H77"/>
  <c r="H81" s="1"/>
  <c r="K76"/>
  <c r="I76"/>
  <c r="G76"/>
  <c r="K75"/>
  <c r="I75"/>
  <c r="K74"/>
  <c r="I74"/>
  <c r="K73"/>
  <c r="G73"/>
  <c r="G81" s="1"/>
  <c r="K71"/>
  <c r="I71"/>
  <c r="G71"/>
  <c r="K70"/>
  <c r="I70"/>
  <c r="K69"/>
  <c r="J69"/>
  <c r="H69"/>
  <c r="G69"/>
  <c r="I69" s="1"/>
  <c r="D69"/>
  <c r="K68"/>
  <c r="G68"/>
  <c r="K67"/>
  <c r="G67"/>
  <c r="I67" s="1"/>
  <c r="K66"/>
  <c r="I66"/>
  <c r="G66"/>
  <c r="K65"/>
  <c r="J65"/>
  <c r="H65"/>
  <c r="G65"/>
  <c r="I65" s="1"/>
  <c r="D65"/>
  <c r="K64"/>
  <c r="G64"/>
  <c r="I64" s="1"/>
  <c r="J63"/>
  <c r="H63"/>
  <c r="K63" s="1"/>
  <c r="D63"/>
  <c r="K62"/>
  <c r="I62"/>
  <c r="G62"/>
  <c r="D62"/>
  <c r="K61"/>
  <c r="I61"/>
  <c r="K60"/>
  <c r="I60"/>
  <c r="G60"/>
  <c r="K59"/>
  <c r="G59"/>
  <c r="I59" s="1"/>
  <c r="J58"/>
  <c r="H58"/>
  <c r="K58" s="1"/>
  <c r="D58"/>
  <c r="K57"/>
  <c r="I57"/>
  <c r="G57"/>
  <c r="K56"/>
  <c r="G56"/>
  <c r="I56" s="1"/>
  <c r="D56"/>
  <c r="K55"/>
  <c r="J55"/>
  <c r="H55"/>
  <c r="G55"/>
  <c r="I55" s="1"/>
  <c r="F55"/>
  <c r="E55"/>
  <c r="D55"/>
  <c r="K54"/>
  <c r="G54"/>
  <c r="I54" s="1"/>
  <c r="J53"/>
  <c r="H53"/>
  <c r="K53" s="1"/>
  <c r="D53"/>
  <c r="K52"/>
  <c r="I52"/>
  <c r="G52"/>
  <c r="D52"/>
  <c r="K51"/>
  <c r="I51"/>
  <c r="G51"/>
  <c r="D51"/>
  <c r="D45" s="1"/>
  <c r="K50"/>
  <c r="G50"/>
  <c r="K49"/>
  <c r="G49"/>
  <c r="K48"/>
  <c r="I48"/>
  <c r="G48"/>
  <c r="K47"/>
  <c r="I47"/>
  <c r="K46"/>
  <c r="G46"/>
  <c r="I46" s="1"/>
  <c r="E46"/>
  <c r="K45"/>
  <c r="J45"/>
  <c r="H45"/>
  <c r="G45"/>
  <c r="I45" s="1"/>
  <c r="F45"/>
  <c r="E45"/>
  <c r="K44"/>
  <c r="G44"/>
  <c r="I44" s="1"/>
  <c r="K43"/>
  <c r="I43"/>
  <c r="G43"/>
  <c r="K42"/>
  <c r="G42"/>
  <c r="I42" s="1"/>
  <c r="K41"/>
  <c r="I41"/>
  <c r="G41"/>
  <c r="K40"/>
  <c r="I40"/>
  <c r="K39"/>
  <c r="J39"/>
  <c r="H39"/>
  <c r="G39"/>
  <c r="I39" s="1"/>
  <c r="F39"/>
  <c r="E39"/>
  <c r="D39"/>
  <c r="K38"/>
  <c r="I38"/>
  <c r="K37"/>
  <c r="I37"/>
  <c r="H36"/>
  <c r="K36" s="1"/>
  <c r="G36"/>
  <c r="J35"/>
  <c r="G35"/>
  <c r="D35"/>
  <c r="H34"/>
  <c r="K34" s="1"/>
  <c r="G34"/>
  <c r="H33"/>
  <c r="K33" s="1"/>
  <c r="G33"/>
  <c r="K32"/>
  <c r="G32"/>
  <c r="I32" s="1"/>
  <c r="K31"/>
  <c r="I31"/>
  <c r="G31"/>
  <c r="K30"/>
  <c r="G30"/>
  <c r="I30" s="1"/>
  <c r="K29"/>
  <c r="I29"/>
  <c r="G29"/>
  <c r="K28"/>
  <c r="J28"/>
  <c r="H28"/>
  <c r="G28"/>
  <c r="I28" s="1"/>
  <c r="D28"/>
  <c r="K27"/>
  <c r="G27"/>
  <c r="I27" s="1"/>
  <c r="K26"/>
  <c r="I26"/>
  <c r="G26"/>
  <c r="K25"/>
  <c r="I25"/>
  <c r="K24"/>
  <c r="G24"/>
  <c r="I24" s="1"/>
  <c r="K23"/>
  <c r="I23"/>
  <c r="G23"/>
  <c r="K22"/>
  <c r="J22"/>
  <c r="H22"/>
  <c r="G22"/>
  <c r="I22" s="1"/>
  <c r="D22"/>
  <c r="K21"/>
  <c r="G21"/>
  <c r="I21" s="1"/>
  <c r="K20"/>
  <c r="I20"/>
  <c r="G20"/>
  <c r="K19"/>
  <c r="G19"/>
  <c r="I19" s="1"/>
  <c r="K18"/>
  <c r="I18"/>
  <c r="K17"/>
  <c r="I17"/>
  <c r="G17"/>
  <c r="K16"/>
  <c r="I16"/>
  <c r="K15"/>
  <c r="G15"/>
  <c r="I15" s="1"/>
  <c r="J14"/>
  <c r="H14"/>
  <c r="K14" s="1"/>
  <c r="D14"/>
  <c r="J13"/>
  <c r="H13"/>
  <c r="K13" s="1"/>
  <c r="F13"/>
  <c r="E13"/>
  <c r="D13"/>
  <c r="K12"/>
  <c r="I12"/>
  <c r="G12"/>
  <c r="K11"/>
  <c r="G11"/>
  <c r="I11" s="1"/>
  <c r="K10"/>
  <c r="I10"/>
  <c r="G10"/>
  <c r="K9"/>
  <c r="J9"/>
  <c r="J72" s="1"/>
  <c r="J82" s="1"/>
  <c r="H9"/>
  <c r="G9"/>
  <c r="I9" s="1"/>
  <c r="D9"/>
  <c r="K8"/>
  <c r="G8"/>
  <c r="I8" s="1"/>
  <c r="H7"/>
  <c r="G7"/>
  <c r="I7" s="1"/>
  <c r="D7"/>
  <c r="D72" s="1"/>
  <c r="D82" s="1"/>
  <c r="K6"/>
  <c r="G6"/>
  <c r="K81" l="1"/>
  <c r="I81"/>
  <c r="G72"/>
  <c r="G82" s="1"/>
  <c r="I6"/>
  <c r="K7"/>
  <c r="I13"/>
  <c r="G14"/>
  <c r="G13" s="1"/>
  <c r="I14"/>
  <c r="I33"/>
  <c r="I34"/>
  <c r="H35"/>
  <c r="I36"/>
  <c r="G53"/>
  <c r="I53"/>
  <c r="G58"/>
  <c r="I58"/>
  <c r="G63"/>
  <c r="I63"/>
  <c r="I73"/>
  <c r="K77"/>
  <c r="K35" l="1"/>
  <c r="I35"/>
  <c r="H72"/>
  <c r="H82" l="1"/>
  <c r="K72"/>
  <c r="I72"/>
  <c r="K82" l="1"/>
  <c r="I82"/>
</calcChain>
</file>

<file path=xl/sharedStrings.xml><?xml version="1.0" encoding="utf-8"?>
<sst xmlns="http://schemas.openxmlformats.org/spreadsheetml/2006/main" count="190" uniqueCount="185">
  <si>
    <t>Код</t>
  </si>
  <si>
    <t>№        п\п</t>
  </si>
  <si>
    <t>Видатки</t>
  </si>
  <si>
    <t>Затверджено                   на 2022 рік</t>
  </si>
  <si>
    <t>Затверджено                       на 2022 рік зі змінами</t>
  </si>
  <si>
    <t>Виконання</t>
  </si>
  <si>
    <t xml:space="preserve">         %                                 виконання</t>
  </si>
  <si>
    <t>Виконання за грудень 2021 року</t>
  </si>
  <si>
    <t>Відхилення                              до 2021 року</t>
  </si>
  <si>
    <t>до 2020 року</t>
  </si>
  <si>
    <t xml:space="preserve">Відхилення  </t>
  </si>
  <si>
    <t>0100</t>
  </si>
  <si>
    <t>1.</t>
  </si>
  <si>
    <t>Державне управління</t>
  </si>
  <si>
    <t>0180</t>
  </si>
  <si>
    <t>2.</t>
  </si>
  <si>
    <t>Інша діяльність - ЗМІ</t>
  </si>
  <si>
    <t>1000, 3230</t>
  </si>
  <si>
    <t>3.</t>
  </si>
  <si>
    <t>Освіта</t>
  </si>
  <si>
    <t>3230</t>
  </si>
  <si>
    <t>3.1</t>
  </si>
  <si>
    <t xml:space="preserve">  -   видатки, пов'язані з наданням підтримки внутрішньо переміщеним та/або евакуйованим особам у зв'язку із введенням воєнного стану</t>
  </si>
  <si>
    <t>2000</t>
  </si>
  <si>
    <t>4.</t>
  </si>
  <si>
    <t>Охорона здоров'я</t>
  </si>
  <si>
    <t>2010</t>
  </si>
  <si>
    <t xml:space="preserve">  - лікарня</t>
  </si>
  <si>
    <t>2100</t>
  </si>
  <si>
    <t xml:space="preserve">  - стоматологія</t>
  </si>
  <si>
    <t>2111</t>
  </si>
  <si>
    <t xml:space="preserve">  - ПМСД</t>
  </si>
  <si>
    <t>3000</t>
  </si>
  <si>
    <t>5.</t>
  </si>
  <si>
    <t>Соціальний захист та соціальне забезпечення</t>
  </si>
  <si>
    <t>5.1</t>
  </si>
  <si>
    <t>Заходи у сфері соціального захисту</t>
  </si>
  <si>
    <t>2152</t>
  </si>
  <si>
    <t xml:space="preserve"> - зубопротезування пільгових категорій населення</t>
  </si>
  <si>
    <t>3032</t>
  </si>
  <si>
    <t xml:space="preserve"> - пільги  окремим категоріям громадян з послуг зв'язку</t>
  </si>
  <si>
    <t>3033</t>
  </si>
  <si>
    <t xml:space="preserve"> - компенсаційні виплати на пільговий проїзд </t>
  </si>
  <si>
    <t>3140</t>
  </si>
  <si>
    <t xml:space="preserve">  - оздоровлення та відпочинок дітей</t>
  </si>
  <si>
    <t>3160</t>
  </si>
  <si>
    <t xml:space="preserve">  -  надання соціальних гарантій фізичним особам, які надають соціальні послуги громадянам, які не здатні до самообслуговування і потребують сторонньої допомоги</t>
  </si>
  <si>
    <t>3180</t>
  </si>
  <si>
    <t xml:space="preserve">  -  надання пільг окремим категоріям населення на оплату житлово-комунальних послуг</t>
  </si>
  <si>
    <t>3242</t>
  </si>
  <si>
    <t xml:space="preserve">  -  інші заходи   (допомога)</t>
  </si>
  <si>
    <t>5.2</t>
  </si>
  <si>
    <t>Пільги соціального захисту (з обласного бюджету)</t>
  </si>
  <si>
    <t>3050</t>
  </si>
  <si>
    <t xml:space="preserve">  -пільгове медичне обслуговування осіб, які постраждали внаслідок Чорнобильської катастрофи</t>
  </si>
  <si>
    <t>3090</t>
  </si>
  <si>
    <t xml:space="preserve">  - видатки на поховання учасників бойових дій та осіб з  інвалідністю внаслідок  війни</t>
  </si>
  <si>
    <t>3171</t>
  </si>
  <si>
    <t xml:space="preserve">  -компенсаційних виплати особам з інвалідністю на бензин, ремонт, технічне обслуговування автомобілів </t>
  </si>
  <si>
    <t>3104</t>
  </si>
  <si>
    <t>5.3</t>
  </si>
  <si>
    <t xml:space="preserve">Територіальні центри соціального обслуговування  </t>
  </si>
  <si>
    <t>5.4</t>
  </si>
  <si>
    <t>Молодіжні програми</t>
  </si>
  <si>
    <t>3112</t>
  </si>
  <si>
    <t xml:space="preserve">  - заходи державної політики з питань дітей </t>
  </si>
  <si>
    <t>3121</t>
  </si>
  <si>
    <t xml:space="preserve">  - утримання та забезпечення діяльності  центрів соціальних служб для сім"ї, дітей та молоді</t>
  </si>
  <si>
    <t>3131</t>
  </si>
  <si>
    <t xml:space="preserve">  - здійснення заходів  цільової соціальної програми «Молодь України»</t>
  </si>
  <si>
    <t>3192</t>
  </si>
  <si>
    <t>5.5</t>
  </si>
  <si>
    <t xml:space="preserve">Фінансова підтримка громадських  ветеранських організацій  </t>
  </si>
  <si>
    <t>3210</t>
  </si>
  <si>
    <t>5.6</t>
  </si>
  <si>
    <t>Організація та проведеня громадських робіт</t>
  </si>
  <si>
    <t>5.7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</si>
  <si>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</si>
  <si>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4000,1080,          3210</t>
  </si>
  <si>
    <t>6.</t>
  </si>
  <si>
    <t>Культура і мистецтво</t>
  </si>
  <si>
    <t xml:space="preserve">  -   культура </t>
  </si>
  <si>
    <t>4082</t>
  </si>
  <si>
    <t xml:space="preserve">  -  інші заходи  в галузі культури </t>
  </si>
  <si>
    <t xml:space="preserve">  -  організація та проведеня громадських робіт в закладах культури</t>
  </si>
  <si>
    <t>5000</t>
  </si>
  <si>
    <t>7.</t>
  </si>
  <si>
    <t>Фізична культура і спорт</t>
  </si>
  <si>
    <t>5012</t>
  </si>
  <si>
    <t xml:space="preserve">  - проведення змагань з неолімпійських видів спорту</t>
  </si>
  <si>
    <t>5031</t>
  </si>
  <si>
    <t xml:space="preserve">  -  ДЮСШ</t>
  </si>
  <si>
    <t>5041</t>
  </si>
  <si>
    <t xml:space="preserve">  -  СОК Шахтар</t>
  </si>
  <si>
    <t>5061</t>
  </si>
  <si>
    <t xml:space="preserve">  -  заходи з фізичної культури </t>
  </si>
  <si>
    <t>5062</t>
  </si>
  <si>
    <t xml:space="preserve">  -  підтримка спорту організацій з фізкультурної діяльності</t>
  </si>
  <si>
    <t>6000</t>
  </si>
  <si>
    <t>8.</t>
  </si>
  <si>
    <t>Житлово-комунальне господарство</t>
  </si>
  <si>
    <t>6011</t>
  </si>
  <si>
    <t>8.1</t>
  </si>
  <si>
    <t>Експлуатація та технічне обслуговування житлового фонду</t>
  </si>
  <si>
    <t>6012</t>
  </si>
  <si>
    <t>8.2</t>
  </si>
  <si>
    <t>Забезпечення діяльності з виробництва, транспортування, постачання теплової енергії</t>
  </si>
  <si>
    <t>6013</t>
  </si>
  <si>
    <t>8.3</t>
  </si>
  <si>
    <t>Забезпечення діяльності водопровідно-каналізаційного господарства</t>
  </si>
  <si>
    <t>6016</t>
  </si>
  <si>
    <t>8.4</t>
  </si>
  <si>
    <t>Впровадження засобів обліку витрат та регулювання споживання води та теплової енергії</t>
  </si>
  <si>
    <t>6020</t>
  </si>
  <si>
    <t>8.5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</si>
  <si>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</si>
  <si>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</si>
  <si>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>8.6</t>
  </si>
  <si>
    <t>Організація благоустрою населених пунктів</t>
  </si>
  <si>
    <t>6090</t>
  </si>
  <si>
    <t>8.7</t>
  </si>
  <si>
    <t>Інша діяльність у  житлово-комунальному господарстві</t>
  </si>
  <si>
    <t>7100</t>
  </si>
  <si>
    <t>9.</t>
  </si>
  <si>
    <t>Сільське і лісове господарство</t>
  </si>
  <si>
    <t>7130</t>
  </si>
  <si>
    <t xml:space="preserve"> - заходи із землеустрою</t>
  </si>
  <si>
    <t>7400</t>
  </si>
  <si>
    <t>10.</t>
  </si>
  <si>
    <t>Транспорт та  дорожнє господарство</t>
  </si>
  <si>
    <t>7461</t>
  </si>
  <si>
    <t xml:space="preserve"> - утримання та розвиток автомобільних доріг</t>
  </si>
  <si>
    <t>7470</t>
  </si>
  <si>
    <t xml:space="preserve"> -інша діяльність у сфері дорожнього господарства</t>
  </si>
  <si>
    <t>7600</t>
  </si>
  <si>
    <t>11.</t>
  </si>
  <si>
    <t>Інші програми, пов'язані з економічною діяльністю</t>
  </si>
  <si>
    <t>7610</t>
  </si>
  <si>
    <t xml:space="preserve"> - сприяння розвитку малого та середнього підприємництва</t>
  </si>
  <si>
    <t>7650</t>
  </si>
  <si>
    <t xml:space="preserve"> -проведення експертної грошової оцінки земельної ділянки чи права на неї</t>
  </si>
  <si>
    <t>7680</t>
  </si>
  <si>
    <t xml:space="preserve"> - членські внески до асоціацій </t>
  </si>
  <si>
    <t>7693</t>
  </si>
  <si>
    <t xml:space="preserve"> - інші заходи, пов'язані з економічною діяльністю</t>
  </si>
  <si>
    <t>8100</t>
  </si>
  <si>
    <t>12.</t>
  </si>
  <si>
    <t xml:space="preserve">Захист  від надзвичайних ситуацій техногенного та природного характеру </t>
  </si>
  <si>
    <t>8110</t>
  </si>
  <si>
    <t xml:space="preserve"> - заходи із запобігання та ліквідації надзвичайних ситуацій </t>
  </si>
  <si>
    <t>8200</t>
  </si>
  <si>
    <t>13.</t>
  </si>
  <si>
    <t>Громадський порядок та безпека</t>
  </si>
  <si>
    <t>8220</t>
  </si>
  <si>
    <t xml:space="preserve"> - заходи та роботи з мобілізаційної підготовки </t>
  </si>
  <si>
    <t>8240</t>
  </si>
  <si>
    <t xml:space="preserve"> - заходи та роботи з територіальної оборони</t>
  </si>
  <si>
    <t>14.</t>
  </si>
  <si>
    <t>Резервний фонд</t>
  </si>
  <si>
    <t>15.</t>
  </si>
  <si>
    <t>Міжбюджетні трансферти</t>
  </si>
  <si>
    <t xml:space="preserve">  -  субвенція  бюджету Вол.Волинської рай.ради</t>
  </si>
  <si>
    <t xml:space="preserve">  -  субвенція державному бюджету</t>
  </si>
  <si>
    <t>РАЗОМ загальний фонд</t>
  </si>
  <si>
    <t xml:space="preserve">Бюджет розвитку </t>
  </si>
  <si>
    <t>6072</t>
  </si>
  <si>
    <t>Компенсація різниці в тарифах на теплову енергію, послуги з постачання теплової енергії та постачання гарячої води згідно із Законом України "Про особливості регулювання відносин на ринку природного газу та у сфері теплопостачання під час дії воєнного стану та подальшого відновлення їх функціонування", послуги з централізованого постачання холодної води та водовідведення (з використанням внутрішньобудинкових систем), послуги з централізованого водопостачання і централізованого водовідведення згідно із Законом України "Про заходи, спрямовані на врегулювання заборгованості теплопостачальних та теплогенеруючих організацій та підприємств централізованого водопостачання і водовідведення" за рахунок субвенції з державного бюджету</t>
  </si>
  <si>
    <t>7700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</si>
  <si>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</si>
  <si>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8340</t>
  </si>
  <si>
    <t xml:space="preserve">Природоохоронні заходи </t>
  </si>
  <si>
    <t>8820</t>
  </si>
  <si>
    <t>Пільгові довгострокові кредити молодим сім’ям  на будівництво/придбання житла  та їх повернення</t>
  </si>
  <si>
    <t>8821</t>
  </si>
  <si>
    <t>Надання кредиту</t>
  </si>
  <si>
    <t>8822</t>
  </si>
  <si>
    <t>Повернення кредиту</t>
  </si>
  <si>
    <t>Власні надходження бюджетних установ</t>
  </si>
  <si>
    <t>РАЗОМ спеціальний фонд</t>
  </si>
  <si>
    <t>ВСЬОГО ВИДАТКІВ</t>
  </si>
  <si>
    <t xml:space="preserve">Зміни обсягів бюджетних коштів на кінець року </t>
  </si>
  <si>
    <t xml:space="preserve"> - загальний фонд</t>
  </si>
  <si>
    <t xml:space="preserve"> - спеціальний фонд</t>
  </si>
  <si>
    <t>-  інші розрахунки (повернення залишків)</t>
  </si>
  <si>
    <t>Розміщення коштів на депозитах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</si>
</sst>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9"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8"/>
      <color indexed="20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8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1">
    <xf numFmtId="0" fontId="0" fillId="0" borderId="0" xfId="0"/>
    <xf numFmtId="16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Fill="1"/>
    <xf numFmtId="164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164" fontId="5" fillId="2" borderId="2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left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164" fontId="4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49" fontId="6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164" fontId="8" fillId="0" borderId="9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164" fontId="8" fillId="0" borderId="10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 wrapText="1"/>
    </xf>
    <xf numFmtId="164" fontId="8" fillId="0" borderId="8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/>
    </xf>
    <xf numFmtId="164" fontId="8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 wrapText="1"/>
    </xf>
    <xf numFmtId="165" fontId="8" fillId="0" borderId="9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3" xfId="0" applyFont="1" applyFill="1" applyBorder="1"/>
    <xf numFmtId="165" fontId="8" fillId="0" borderId="8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/>
    </xf>
    <xf numFmtId="49" fontId="6" fillId="0" borderId="6" xfId="0" applyNumberFormat="1" applyFont="1" applyFill="1" applyBorder="1" applyAlignment="1">
      <alignment horizontal="center" vertical="center"/>
    </xf>
    <xf numFmtId="165" fontId="6" fillId="0" borderId="6" xfId="0" applyNumberFormat="1" applyFont="1" applyFill="1" applyBorder="1" applyAlignment="1">
      <alignment horizontal="center" vertical="center" wrapText="1"/>
    </xf>
    <xf numFmtId="165" fontId="6" fillId="2" borderId="6" xfId="0" applyNumberFormat="1" applyFont="1" applyFill="1" applyBorder="1" applyAlignment="1">
      <alignment horizontal="center" vertical="center" wrapText="1"/>
    </xf>
    <xf numFmtId="165" fontId="6" fillId="0" borderId="8" xfId="0" applyNumberFormat="1" applyFont="1" applyFill="1" applyBorder="1" applyAlignment="1">
      <alignment horizontal="center" vertical="center" wrapText="1"/>
    </xf>
    <xf numFmtId="165" fontId="6" fillId="2" borderId="8" xfId="0" applyNumberFormat="1" applyFont="1" applyFill="1" applyBorder="1" applyAlignment="1">
      <alignment horizontal="center" vertical="center" wrapText="1"/>
    </xf>
    <xf numFmtId="165" fontId="6" fillId="0" borderId="9" xfId="0" applyNumberFormat="1" applyFont="1" applyFill="1" applyBorder="1" applyAlignment="1">
      <alignment horizontal="center" vertical="center" wrapText="1"/>
    </xf>
    <xf numFmtId="165" fontId="6" fillId="2" borderId="9" xfId="0" applyNumberFormat="1" applyFont="1" applyFill="1" applyBorder="1" applyAlignment="1">
      <alignment horizontal="center" vertical="center" wrapText="1"/>
    </xf>
    <xf numFmtId="165" fontId="8" fillId="0" borderId="10" xfId="0" applyNumberFormat="1" applyFont="1" applyFill="1" applyBorder="1" applyAlignment="1">
      <alignment horizontal="center" vertical="center" wrapText="1"/>
    </xf>
    <xf numFmtId="165" fontId="10" fillId="0" borderId="2" xfId="0" applyNumberFormat="1" applyFont="1" applyFill="1" applyBorder="1" applyAlignment="1">
      <alignment horizontal="center" vertical="center" wrapText="1"/>
    </xf>
    <xf numFmtId="165" fontId="10" fillId="2" borderId="2" xfId="0" applyNumberFormat="1" applyFont="1" applyFill="1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49" fontId="4" fillId="0" borderId="15" xfId="0" applyNumberFormat="1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center" vertical="center"/>
    </xf>
    <xf numFmtId="0" fontId="6" fillId="0" borderId="11" xfId="0" applyFont="1" applyFill="1" applyBorder="1"/>
    <xf numFmtId="49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164" fontId="5" fillId="0" borderId="4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6" fillId="0" borderId="7" xfId="0" applyFont="1" applyFill="1" applyBorder="1" applyAlignment="1">
      <alignment horizontal="left" vertical="center" wrapText="1"/>
    </xf>
    <xf numFmtId="165" fontId="6" fillId="0" borderId="7" xfId="0" applyNumberFormat="1" applyFont="1" applyFill="1" applyBorder="1" applyAlignment="1">
      <alignment horizontal="center" vertical="center"/>
    </xf>
    <xf numFmtId="165" fontId="6" fillId="2" borderId="7" xfId="0" applyNumberFormat="1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center" vertical="center"/>
    </xf>
    <xf numFmtId="165" fontId="6" fillId="0" borderId="8" xfId="0" applyNumberFormat="1" applyFont="1" applyFill="1" applyBorder="1" applyAlignment="1">
      <alignment horizontal="center" vertical="center"/>
    </xf>
    <xf numFmtId="165" fontId="6" fillId="2" borderId="8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165" fontId="6" fillId="0" borderId="4" xfId="0" applyNumberFormat="1" applyFont="1" applyFill="1" applyBorder="1" applyAlignment="1">
      <alignment horizontal="center" vertical="center"/>
    </xf>
    <xf numFmtId="165" fontId="6" fillId="2" borderId="4" xfId="0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5" fontId="12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/>
    <xf numFmtId="165" fontId="12" fillId="2" borderId="2" xfId="0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0" fontId="4" fillId="0" borderId="14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165" fontId="4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165" fontId="4" fillId="2" borderId="4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165" fontId="8" fillId="0" borderId="3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4" fontId="6" fillId="0" borderId="7" xfId="0" applyNumberFormat="1" applyFont="1" applyFill="1" applyBorder="1" applyAlignment="1">
      <alignment horizontal="center" vertical="center"/>
    </xf>
    <xf numFmtId="165" fontId="8" fillId="0" borderId="2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 wrapText="1"/>
    </xf>
    <xf numFmtId="165" fontId="9" fillId="0" borderId="3" xfId="0" applyNumberFormat="1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justify"/>
    </xf>
    <xf numFmtId="0" fontId="6" fillId="0" borderId="19" xfId="0" applyFont="1" applyFill="1" applyBorder="1" applyAlignment="1">
      <alignment horizontal="left" vertical="center" wrapText="1"/>
    </xf>
    <xf numFmtId="165" fontId="6" fillId="0" borderId="6" xfId="0" applyNumberFormat="1" applyFont="1" applyFill="1" applyBorder="1" applyAlignment="1">
      <alignment horizontal="center" vertical="center"/>
    </xf>
    <xf numFmtId="165" fontId="6" fillId="2" borderId="6" xfId="0" applyNumberFormat="1" applyFont="1" applyFill="1" applyBorder="1" applyAlignment="1">
      <alignment horizontal="center" vertical="center"/>
    </xf>
    <xf numFmtId="165" fontId="8" fillId="0" borderId="7" xfId="0" applyNumberFormat="1" applyFont="1" applyFill="1" applyBorder="1" applyAlignment="1">
      <alignment horizontal="center" vertical="center" wrapText="1"/>
    </xf>
    <xf numFmtId="49" fontId="6" fillId="0" borderId="16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justify"/>
    </xf>
    <xf numFmtId="0" fontId="6" fillId="0" borderId="20" xfId="0" applyFont="1" applyFill="1" applyBorder="1" applyAlignment="1">
      <alignment horizontal="left" vertical="center" wrapText="1"/>
    </xf>
    <xf numFmtId="165" fontId="8" fillId="0" borderId="3" xfId="0" applyNumberFormat="1" applyFont="1" applyFill="1" applyBorder="1" applyAlignment="1">
      <alignment horizontal="center" vertical="center" wrapText="1"/>
    </xf>
    <xf numFmtId="49" fontId="6" fillId="0" borderId="21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justify"/>
    </xf>
    <xf numFmtId="0" fontId="6" fillId="0" borderId="4" xfId="0" applyFont="1" applyFill="1" applyBorder="1" applyAlignment="1">
      <alignment horizontal="left" vertical="center" wrapText="1" shrinkToFit="1"/>
    </xf>
    <xf numFmtId="164" fontId="5" fillId="0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left" vertical="center" wrapText="1"/>
    </xf>
    <xf numFmtId="164" fontId="8" fillId="0" borderId="6" xfId="0" applyNumberFormat="1" applyFont="1" applyFill="1" applyBorder="1" applyAlignment="1">
      <alignment horizontal="center" vertical="center"/>
    </xf>
    <xf numFmtId="164" fontId="8" fillId="2" borderId="6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49" fontId="6" fillId="0" borderId="2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 shrinkToFit="1"/>
    </xf>
    <xf numFmtId="164" fontId="6" fillId="0" borderId="3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49" fontId="6" fillId="0" borderId="24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left" vertical="center"/>
    </xf>
    <xf numFmtId="0" fontId="6" fillId="0" borderId="25" xfId="0" applyFont="1" applyFill="1" applyBorder="1" applyAlignment="1">
      <alignment horizontal="left" vertical="center" wrapText="1" shrinkToFit="1"/>
    </xf>
    <xf numFmtId="164" fontId="6" fillId="0" borderId="9" xfId="0" applyNumberFormat="1" applyFont="1" applyFill="1" applyBorder="1" applyAlignment="1">
      <alignment horizontal="center" vertical="center"/>
    </xf>
    <xf numFmtId="0" fontId="6" fillId="0" borderId="12" xfId="0" applyFont="1" applyFill="1" applyBorder="1"/>
    <xf numFmtId="164" fontId="6" fillId="2" borderId="9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left" vertical="center"/>
    </xf>
    <xf numFmtId="165" fontId="5" fillId="0" borderId="2" xfId="0" applyNumberFormat="1" applyFont="1" applyFill="1" applyBorder="1" applyAlignment="1">
      <alignment horizontal="center" vertical="center"/>
    </xf>
    <xf numFmtId="165" fontId="5" fillId="2" borderId="2" xfId="0" applyNumberFormat="1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left" vertical="center" wrapText="1" shrinkToFit="1"/>
    </xf>
    <xf numFmtId="0" fontId="14" fillId="0" borderId="2" xfId="0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164" fontId="15" fillId="0" borderId="2" xfId="0" applyNumberFormat="1" applyFont="1" applyFill="1" applyBorder="1" applyAlignment="1">
      <alignment horizontal="center" vertical="center"/>
    </xf>
    <xf numFmtId="0" fontId="16" fillId="0" borderId="0" xfId="0" applyFont="1" applyFill="1"/>
    <xf numFmtId="164" fontId="15" fillId="2" borderId="2" xfId="0" applyNumberFormat="1" applyFont="1" applyFill="1" applyBorder="1" applyAlignment="1">
      <alignment horizontal="center" vertical="center"/>
    </xf>
    <xf numFmtId="0" fontId="17" fillId="0" borderId="0" xfId="0" applyFont="1" applyFill="1"/>
    <xf numFmtId="49" fontId="4" fillId="0" borderId="6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164" fontId="5" fillId="0" borderId="6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1" xfId="0" applyFont="1" applyFill="1" applyBorder="1"/>
    <xf numFmtId="165" fontId="5" fillId="0" borderId="7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64" fontId="5" fillId="0" borderId="3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164" fontId="15" fillId="0" borderId="3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left" vertical="center"/>
    </xf>
    <xf numFmtId="49" fontId="4" fillId="0" borderId="13" xfId="0" applyNumberFormat="1" applyFont="1" applyFill="1" applyBorder="1" applyAlignment="1">
      <alignment horizontal="left" vertical="center" wrapText="1"/>
    </xf>
    <xf numFmtId="164" fontId="5" fillId="0" borderId="8" xfId="0" applyNumberFormat="1" applyFont="1" applyFill="1" applyBorder="1" applyAlignment="1">
      <alignment horizontal="center" vertical="center"/>
    </xf>
    <xf numFmtId="0" fontId="4" fillId="0" borderId="13" xfId="0" applyFont="1" applyFill="1" applyBorder="1"/>
    <xf numFmtId="164" fontId="5" fillId="2" borderId="8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 wrapText="1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left" vertical="center"/>
    </xf>
    <xf numFmtId="164" fontId="8" fillId="0" borderId="3" xfId="0" applyNumberFormat="1" applyFont="1" applyFill="1" applyBorder="1" applyAlignment="1">
      <alignment horizontal="center" vertical="center"/>
    </xf>
    <xf numFmtId="164" fontId="6" fillId="0" borderId="10" xfId="0" applyNumberFormat="1" applyFont="1" applyFill="1" applyBorder="1" applyAlignment="1">
      <alignment horizontal="center" vertical="center"/>
    </xf>
    <xf numFmtId="164" fontId="6" fillId="2" borderId="10" xfId="0" applyNumberFormat="1" applyFont="1" applyFill="1" applyBorder="1" applyAlignment="1">
      <alignment horizontal="center" vertical="center"/>
    </xf>
    <xf numFmtId="164" fontId="8" fillId="0" borderId="10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left" vertical="center"/>
    </xf>
    <xf numFmtId="164" fontId="4" fillId="2" borderId="2" xfId="0" applyNumberFormat="1" applyFont="1" applyFill="1" applyBorder="1" applyAlignment="1">
      <alignment horizontal="center" vertical="center"/>
    </xf>
    <xf numFmtId="0" fontId="18" fillId="0" borderId="0" xfId="0" applyFont="1" applyFill="1"/>
    <xf numFmtId="0" fontId="4" fillId="0" borderId="2" xfId="0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164" fontId="1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left" vertical="center" wrapText="1"/>
    </xf>
    <xf numFmtId="164" fontId="8" fillId="0" borderId="8" xfId="0" applyNumberFormat="1" applyFont="1" applyFill="1" applyBorder="1" applyAlignment="1">
      <alignment horizontal="center" vertical="center"/>
    </xf>
    <xf numFmtId="164" fontId="8" fillId="0" borderId="9" xfId="0" applyNumberFormat="1" applyFont="1" applyFill="1" applyBorder="1" applyAlignment="1">
      <alignment horizontal="center" vertical="center"/>
    </xf>
    <xf numFmtId="164" fontId="5" fillId="0" borderId="9" xfId="0" applyNumberFormat="1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164" fontId="15" fillId="0" borderId="9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2"/>
  <sheetViews>
    <sheetView tabSelected="1" zoomScale="60" zoomScaleNormal="60" workbookViewId="0">
      <selection sqref="A1:XFD1048576"/>
    </sheetView>
  </sheetViews>
  <sheetFormatPr defaultRowHeight="18.75"/>
  <cols>
    <col min="1" max="1" width="21.28515625" style="15" customWidth="1"/>
    <col min="2" max="2" width="10.140625" style="219" customWidth="1"/>
    <col min="3" max="3" width="85.42578125" style="8" customWidth="1"/>
    <col min="4" max="4" width="26.7109375" style="219" customWidth="1"/>
    <col min="5" max="5" width="9.140625" style="8" hidden="1" customWidth="1"/>
    <col min="6" max="6" width="10.28515625" style="8" hidden="1" customWidth="1"/>
    <col min="7" max="7" width="26.5703125" style="219" customWidth="1"/>
    <col min="8" max="8" width="26.7109375" style="220" customWidth="1"/>
    <col min="9" max="9" width="20.85546875" style="219" customWidth="1"/>
    <col min="10" max="10" width="17.28515625" style="220" hidden="1" customWidth="1"/>
    <col min="11" max="11" width="22.85546875" style="219" customWidth="1"/>
    <col min="12" max="256" width="9.140625" style="8"/>
    <col min="257" max="257" width="21.28515625" style="8" customWidth="1"/>
    <col min="258" max="258" width="10.140625" style="8" customWidth="1"/>
    <col min="259" max="259" width="85.42578125" style="8" customWidth="1"/>
    <col min="260" max="260" width="26.7109375" style="8" customWidth="1"/>
    <col min="261" max="262" width="0" style="8" hidden="1" customWidth="1"/>
    <col min="263" max="263" width="26.5703125" style="8" customWidth="1"/>
    <col min="264" max="264" width="26.7109375" style="8" customWidth="1"/>
    <col min="265" max="265" width="20.85546875" style="8" customWidth="1"/>
    <col min="266" max="266" width="0" style="8" hidden="1" customWidth="1"/>
    <col min="267" max="267" width="22.85546875" style="8" customWidth="1"/>
    <col min="268" max="512" width="9.140625" style="8"/>
    <col min="513" max="513" width="21.28515625" style="8" customWidth="1"/>
    <col min="514" max="514" width="10.140625" style="8" customWidth="1"/>
    <col min="515" max="515" width="85.42578125" style="8" customWidth="1"/>
    <col min="516" max="516" width="26.7109375" style="8" customWidth="1"/>
    <col min="517" max="518" width="0" style="8" hidden="1" customWidth="1"/>
    <col min="519" max="519" width="26.5703125" style="8" customWidth="1"/>
    <col min="520" max="520" width="26.7109375" style="8" customWidth="1"/>
    <col min="521" max="521" width="20.85546875" style="8" customWidth="1"/>
    <col min="522" max="522" width="0" style="8" hidden="1" customWidth="1"/>
    <col min="523" max="523" width="22.85546875" style="8" customWidth="1"/>
    <col min="524" max="768" width="9.140625" style="8"/>
    <col min="769" max="769" width="21.28515625" style="8" customWidth="1"/>
    <col min="770" max="770" width="10.140625" style="8" customWidth="1"/>
    <col min="771" max="771" width="85.42578125" style="8" customWidth="1"/>
    <col min="772" max="772" width="26.7109375" style="8" customWidth="1"/>
    <col min="773" max="774" width="0" style="8" hidden="1" customWidth="1"/>
    <col min="775" max="775" width="26.5703125" style="8" customWidth="1"/>
    <col min="776" max="776" width="26.7109375" style="8" customWidth="1"/>
    <col min="777" max="777" width="20.85546875" style="8" customWidth="1"/>
    <col min="778" max="778" width="0" style="8" hidden="1" customWidth="1"/>
    <col min="779" max="779" width="22.85546875" style="8" customWidth="1"/>
    <col min="780" max="1024" width="9.140625" style="8"/>
    <col min="1025" max="1025" width="21.28515625" style="8" customWidth="1"/>
    <col min="1026" max="1026" width="10.140625" style="8" customWidth="1"/>
    <col min="1027" max="1027" width="85.42578125" style="8" customWidth="1"/>
    <col min="1028" max="1028" width="26.7109375" style="8" customWidth="1"/>
    <col min="1029" max="1030" width="0" style="8" hidden="1" customWidth="1"/>
    <col min="1031" max="1031" width="26.5703125" style="8" customWidth="1"/>
    <col min="1032" max="1032" width="26.7109375" style="8" customWidth="1"/>
    <col min="1033" max="1033" width="20.85546875" style="8" customWidth="1"/>
    <col min="1034" max="1034" width="0" style="8" hidden="1" customWidth="1"/>
    <col min="1035" max="1035" width="22.85546875" style="8" customWidth="1"/>
    <col min="1036" max="1280" width="9.140625" style="8"/>
    <col min="1281" max="1281" width="21.28515625" style="8" customWidth="1"/>
    <col min="1282" max="1282" width="10.140625" style="8" customWidth="1"/>
    <col min="1283" max="1283" width="85.42578125" style="8" customWidth="1"/>
    <col min="1284" max="1284" width="26.7109375" style="8" customWidth="1"/>
    <col min="1285" max="1286" width="0" style="8" hidden="1" customWidth="1"/>
    <col min="1287" max="1287" width="26.5703125" style="8" customWidth="1"/>
    <col min="1288" max="1288" width="26.7109375" style="8" customWidth="1"/>
    <col min="1289" max="1289" width="20.85546875" style="8" customWidth="1"/>
    <col min="1290" max="1290" width="0" style="8" hidden="1" customWidth="1"/>
    <col min="1291" max="1291" width="22.85546875" style="8" customWidth="1"/>
    <col min="1292" max="1536" width="9.140625" style="8"/>
    <col min="1537" max="1537" width="21.28515625" style="8" customWidth="1"/>
    <col min="1538" max="1538" width="10.140625" style="8" customWidth="1"/>
    <col min="1539" max="1539" width="85.42578125" style="8" customWidth="1"/>
    <col min="1540" max="1540" width="26.7109375" style="8" customWidth="1"/>
    <col min="1541" max="1542" width="0" style="8" hidden="1" customWidth="1"/>
    <col min="1543" max="1543" width="26.5703125" style="8" customWidth="1"/>
    <col min="1544" max="1544" width="26.7109375" style="8" customWidth="1"/>
    <col min="1545" max="1545" width="20.85546875" style="8" customWidth="1"/>
    <col min="1546" max="1546" width="0" style="8" hidden="1" customWidth="1"/>
    <col min="1547" max="1547" width="22.85546875" style="8" customWidth="1"/>
    <col min="1548" max="1792" width="9.140625" style="8"/>
    <col min="1793" max="1793" width="21.28515625" style="8" customWidth="1"/>
    <col min="1794" max="1794" width="10.140625" style="8" customWidth="1"/>
    <col min="1795" max="1795" width="85.42578125" style="8" customWidth="1"/>
    <col min="1796" max="1796" width="26.7109375" style="8" customWidth="1"/>
    <col min="1797" max="1798" width="0" style="8" hidden="1" customWidth="1"/>
    <col min="1799" max="1799" width="26.5703125" style="8" customWidth="1"/>
    <col min="1800" max="1800" width="26.7109375" style="8" customWidth="1"/>
    <col min="1801" max="1801" width="20.85546875" style="8" customWidth="1"/>
    <col min="1802" max="1802" width="0" style="8" hidden="1" customWidth="1"/>
    <col min="1803" max="1803" width="22.85546875" style="8" customWidth="1"/>
    <col min="1804" max="2048" width="9.140625" style="8"/>
    <col min="2049" max="2049" width="21.28515625" style="8" customWidth="1"/>
    <col min="2050" max="2050" width="10.140625" style="8" customWidth="1"/>
    <col min="2051" max="2051" width="85.42578125" style="8" customWidth="1"/>
    <col min="2052" max="2052" width="26.7109375" style="8" customWidth="1"/>
    <col min="2053" max="2054" width="0" style="8" hidden="1" customWidth="1"/>
    <col min="2055" max="2055" width="26.5703125" style="8" customWidth="1"/>
    <col min="2056" max="2056" width="26.7109375" style="8" customWidth="1"/>
    <col min="2057" max="2057" width="20.85546875" style="8" customWidth="1"/>
    <col min="2058" max="2058" width="0" style="8" hidden="1" customWidth="1"/>
    <col min="2059" max="2059" width="22.85546875" style="8" customWidth="1"/>
    <col min="2060" max="2304" width="9.140625" style="8"/>
    <col min="2305" max="2305" width="21.28515625" style="8" customWidth="1"/>
    <col min="2306" max="2306" width="10.140625" style="8" customWidth="1"/>
    <col min="2307" max="2307" width="85.42578125" style="8" customWidth="1"/>
    <col min="2308" max="2308" width="26.7109375" style="8" customWidth="1"/>
    <col min="2309" max="2310" width="0" style="8" hidden="1" customWidth="1"/>
    <col min="2311" max="2311" width="26.5703125" style="8" customWidth="1"/>
    <col min="2312" max="2312" width="26.7109375" style="8" customWidth="1"/>
    <col min="2313" max="2313" width="20.85546875" style="8" customWidth="1"/>
    <col min="2314" max="2314" width="0" style="8" hidden="1" customWidth="1"/>
    <col min="2315" max="2315" width="22.85546875" style="8" customWidth="1"/>
    <col min="2316" max="2560" width="9.140625" style="8"/>
    <col min="2561" max="2561" width="21.28515625" style="8" customWidth="1"/>
    <col min="2562" max="2562" width="10.140625" style="8" customWidth="1"/>
    <col min="2563" max="2563" width="85.42578125" style="8" customWidth="1"/>
    <col min="2564" max="2564" width="26.7109375" style="8" customWidth="1"/>
    <col min="2565" max="2566" width="0" style="8" hidden="1" customWidth="1"/>
    <col min="2567" max="2567" width="26.5703125" style="8" customWidth="1"/>
    <col min="2568" max="2568" width="26.7109375" style="8" customWidth="1"/>
    <col min="2569" max="2569" width="20.85546875" style="8" customWidth="1"/>
    <col min="2570" max="2570" width="0" style="8" hidden="1" customWidth="1"/>
    <col min="2571" max="2571" width="22.85546875" style="8" customWidth="1"/>
    <col min="2572" max="2816" width="9.140625" style="8"/>
    <col min="2817" max="2817" width="21.28515625" style="8" customWidth="1"/>
    <col min="2818" max="2818" width="10.140625" style="8" customWidth="1"/>
    <col min="2819" max="2819" width="85.42578125" style="8" customWidth="1"/>
    <col min="2820" max="2820" width="26.7109375" style="8" customWidth="1"/>
    <col min="2821" max="2822" width="0" style="8" hidden="1" customWidth="1"/>
    <col min="2823" max="2823" width="26.5703125" style="8" customWidth="1"/>
    <col min="2824" max="2824" width="26.7109375" style="8" customWidth="1"/>
    <col min="2825" max="2825" width="20.85546875" style="8" customWidth="1"/>
    <col min="2826" max="2826" width="0" style="8" hidden="1" customWidth="1"/>
    <col min="2827" max="2827" width="22.85546875" style="8" customWidth="1"/>
    <col min="2828" max="3072" width="9.140625" style="8"/>
    <col min="3073" max="3073" width="21.28515625" style="8" customWidth="1"/>
    <col min="3074" max="3074" width="10.140625" style="8" customWidth="1"/>
    <col min="3075" max="3075" width="85.42578125" style="8" customWidth="1"/>
    <col min="3076" max="3076" width="26.7109375" style="8" customWidth="1"/>
    <col min="3077" max="3078" width="0" style="8" hidden="1" customWidth="1"/>
    <col min="3079" max="3079" width="26.5703125" style="8" customWidth="1"/>
    <col min="3080" max="3080" width="26.7109375" style="8" customWidth="1"/>
    <col min="3081" max="3081" width="20.85546875" style="8" customWidth="1"/>
    <col min="3082" max="3082" width="0" style="8" hidden="1" customWidth="1"/>
    <col min="3083" max="3083" width="22.85546875" style="8" customWidth="1"/>
    <col min="3084" max="3328" width="9.140625" style="8"/>
    <col min="3329" max="3329" width="21.28515625" style="8" customWidth="1"/>
    <col min="3330" max="3330" width="10.140625" style="8" customWidth="1"/>
    <col min="3331" max="3331" width="85.42578125" style="8" customWidth="1"/>
    <col min="3332" max="3332" width="26.7109375" style="8" customWidth="1"/>
    <col min="3333" max="3334" width="0" style="8" hidden="1" customWidth="1"/>
    <col min="3335" max="3335" width="26.5703125" style="8" customWidth="1"/>
    <col min="3336" max="3336" width="26.7109375" style="8" customWidth="1"/>
    <col min="3337" max="3337" width="20.85546875" style="8" customWidth="1"/>
    <col min="3338" max="3338" width="0" style="8" hidden="1" customWidth="1"/>
    <col min="3339" max="3339" width="22.85546875" style="8" customWidth="1"/>
    <col min="3340" max="3584" width="9.140625" style="8"/>
    <col min="3585" max="3585" width="21.28515625" style="8" customWidth="1"/>
    <col min="3586" max="3586" width="10.140625" style="8" customWidth="1"/>
    <col min="3587" max="3587" width="85.42578125" style="8" customWidth="1"/>
    <col min="3588" max="3588" width="26.7109375" style="8" customWidth="1"/>
    <col min="3589" max="3590" width="0" style="8" hidden="1" customWidth="1"/>
    <col min="3591" max="3591" width="26.5703125" style="8" customWidth="1"/>
    <col min="3592" max="3592" width="26.7109375" style="8" customWidth="1"/>
    <col min="3593" max="3593" width="20.85546875" style="8" customWidth="1"/>
    <col min="3594" max="3594" width="0" style="8" hidden="1" customWidth="1"/>
    <col min="3595" max="3595" width="22.85546875" style="8" customWidth="1"/>
    <col min="3596" max="3840" width="9.140625" style="8"/>
    <col min="3841" max="3841" width="21.28515625" style="8" customWidth="1"/>
    <col min="3842" max="3842" width="10.140625" style="8" customWidth="1"/>
    <col min="3843" max="3843" width="85.42578125" style="8" customWidth="1"/>
    <col min="3844" max="3844" width="26.7109375" style="8" customWidth="1"/>
    <col min="3845" max="3846" width="0" style="8" hidden="1" customWidth="1"/>
    <col min="3847" max="3847" width="26.5703125" style="8" customWidth="1"/>
    <col min="3848" max="3848" width="26.7109375" style="8" customWidth="1"/>
    <col min="3849" max="3849" width="20.85546875" style="8" customWidth="1"/>
    <col min="3850" max="3850" width="0" style="8" hidden="1" customWidth="1"/>
    <col min="3851" max="3851" width="22.85546875" style="8" customWidth="1"/>
    <col min="3852" max="4096" width="9.140625" style="8"/>
    <col min="4097" max="4097" width="21.28515625" style="8" customWidth="1"/>
    <col min="4098" max="4098" width="10.140625" style="8" customWidth="1"/>
    <col min="4099" max="4099" width="85.42578125" style="8" customWidth="1"/>
    <col min="4100" max="4100" width="26.7109375" style="8" customWidth="1"/>
    <col min="4101" max="4102" width="0" style="8" hidden="1" customWidth="1"/>
    <col min="4103" max="4103" width="26.5703125" style="8" customWidth="1"/>
    <col min="4104" max="4104" width="26.7109375" style="8" customWidth="1"/>
    <col min="4105" max="4105" width="20.85546875" style="8" customWidth="1"/>
    <col min="4106" max="4106" width="0" style="8" hidden="1" customWidth="1"/>
    <col min="4107" max="4107" width="22.85546875" style="8" customWidth="1"/>
    <col min="4108" max="4352" width="9.140625" style="8"/>
    <col min="4353" max="4353" width="21.28515625" style="8" customWidth="1"/>
    <col min="4354" max="4354" width="10.140625" style="8" customWidth="1"/>
    <col min="4355" max="4355" width="85.42578125" style="8" customWidth="1"/>
    <col min="4356" max="4356" width="26.7109375" style="8" customWidth="1"/>
    <col min="4357" max="4358" width="0" style="8" hidden="1" customWidth="1"/>
    <col min="4359" max="4359" width="26.5703125" style="8" customWidth="1"/>
    <col min="4360" max="4360" width="26.7109375" style="8" customWidth="1"/>
    <col min="4361" max="4361" width="20.85546875" style="8" customWidth="1"/>
    <col min="4362" max="4362" width="0" style="8" hidden="1" customWidth="1"/>
    <col min="4363" max="4363" width="22.85546875" style="8" customWidth="1"/>
    <col min="4364" max="4608" width="9.140625" style="8"/>
    <col min="4609" max="4609" width="21.28515625" style="8" customWidth="1"/>
    <col min="4610" max="4610" width="10.140625" style="8" customWidth="1"/>
    <col min="4611" max="4611" width="85.42578125" style="8" customWidth="1"/>
    <col min="4612" max="4612" width="26.7109375" style="8" customWidth="1"/>
    <col min="4613" max="4614" width="0" style="8" hidden="1" customWidth="1"/>
    <col min="4615" max="4615" width="26.5703125" style="8" customWidth="1"/>
    <col min="4616" max="4616" width="26.7109375" style="8" customWidth="1"/>
    <col min="4617" max="4617" width="20.85546875" style="8" customWidth="1"/>
    <col min="4618" max="4618" width="0" style="8" hidden="1" customWidth="1"/>
    <col min="4619" max="4619" width="22.85546875" style="8" customWidth="1"/>
    <col min="4620" max="4864" width="9.140625" style="8"/>
    <col min="4865" max="4865" width="21.28515625" style="8" customWidth="1"/>
    <col min="4866" max="4866" width="10.140625" style="8" customWidth="1"/>
    <col min="4867" max="4867" width="85.42578125" style="8" customWidth="1"/>
    <col min="4868" max="4868" width="26.7109375" style="8" customWidth="1"/>
    <col min="4869" max="4870" width="0" style="8" hidden="1" customWidth="1"/>
    <col min="4871" max="4871" width="26.5703125" style="8" customWidth="1"/>
    <col min="4872" max="4872" width="26.7109375" style="8" customWidth="1"/>
    <col min="4873" max="4873" width="20.85546875" style="8" customWidth="1"/>
    <col min="4874" max="4874" width="0" style="8" hidden="1" customWidth="1"/>
    <col min="4875" max="4875" width="22.85546875" style="8" customWidth="1"/>
    <col min="4876" max="5120" width="9.140625" style="8"/>
    <col min="5121" max="5121" width="21.28515625" style="8" customWidth="1"/>
    <col min="5122" max="5122" width="10.140625" style="8" customWidth="1"/>
    <col min="5123" max="5123" width="85.42578125" style="8" customWidth="1"/>
    <col min="5124" max="5124" width="26.7109375" style="8" customWidth="1"/>
    <col min="5125" max="5126" width="0" style="8" hidden="1" customWidth="1"/>
    <col min="5127" max="5127" width="26.5703125" style="8" customWidth="1"/>
    <col min="5128" max="5128" width="26.7109375" style="8" customWidth="1"/>
    <col min="5129" max="5129" width="20.85546875" style="8" customWidth="1"/>
    <col min="5130" max="5130" width="0" style="8" hidden="1" customWidth="1"/>
    <col min="5131" max="5131" width="22.85546875" style="8" customWidth="1"/>
    <col min="5132" max="5376" width="9.140625" style="8"/>
    <col min="5377" max="5377" width="21.28515625" style="8" customWidth="1"/>
    <col min="5378" max="5378" width="10.140625" style="8" customWidth="1"/>
    <col min="5379" max="5379" width="85.42578125" style="8" customWidth="1"/>
    <col min="5380" max="5380" width="26.7109375" style="8" customWidth="1"/>
    <col min="5381" max="5382" width="0" style="8" hidden="1" customWidth="1"/>
    <col min="5383" max="5383" width="26.5703125" style="8" customWidth="1"/>
    <col min="5384" max="5384" width="26.7109375" style="8" customWidth="1"/>
    <col min="5385" max="5385" width="20.85546875" style="8" customWidth="1"/>
    <col min="5386" max="5386" width="0" style="8" hidden="1" customWidth="1"/>
    <col min="5387" max="5387" width="22.85546875" style="8" customWidth="1"/>
    <col min="5388" max="5632" width="9.140625" style="8"/>
    <col min="5633" max="5633" width="21.28515625" style="8" customWidth="1"/>
    <col min="5634" max="5634" width="10.140625" style="8" customWidth="1"/>
    <col min="5635" max="5635" width="85.42578125" style="8" customWidth="1"/>
    <col min="5636" max="5636" width="26.7109375" style="8" customWidth="1"/>
    <col min="5637" max="5638" width="0" style="8" hidden="1" customWidth="1"/>
    <col min="5639" max="5639" width="26.5703125" style="8" customWidth="1"/>
    <col min="5640" max="5640" width="26.7109375" style="8" customWidth="1"/>
    <col min="5641" max="5641" width="20.85546875" style="8" customWidth="1"/>
    <col min="5642" max="5642" width="0" style="8" hidden="1" customWidth="1"/>
    <col min="5643" max="5643" width="22.85546875" style="8" customWidth="1"/>
    <col min="5644" max="5888" width="9.140625" style="8"/>
    <col min="5889" max="5889" width="21.28515625" style="8" customWidth="1"/>
    <col min="5890" max="5890" width="10.140625" style="8" customWidth="1"/>
    <col min="5891" max="5891" width="85.42578125" style="8" customWidth="1"/>
    <col min="5892" max="5892" width="26.7109375" style="8" customWidth="1"/>
    <col min="5893" max="5894" width="0" style="8" hidden="1" customWidth="1"/>
    <col min="5895" max="5895" width="26.5703125" style="8" customWidth="1"/>
    <col min="5896" max="5896" width="26.7109375" style="8" customWidth="1"/>
    <col min="5897" max="5897" width="20.85546875" style="8" customWidth="1"/>
    <col min="5898" max="5898" width="0" style="8" hidden="1" customWidth="1"/>
    <col min="5899" max="5899" width="22.85546875" style="8" customWidth="1"/>
    <col min="5900" max="6144" width="9.140625" style="8"/>
    <col min="6145" max="6145" width="21.28515625" style="8" customWidth="1"/>
    <col min="6146" max="6146" width="10.140625" style="8" customWidth="1"/>
    <col min="6147" max="6147" width="85.42578125" style="8" customWidth="1"/>
    <col min="6148" max="6148" width="26.7109375" style="8" customWidth="1"/>
    <col min="6149" max="6150" width="0" style="8" hidden="1" customWidth="1"/>
    <col min="6151" max="6151" width="26.5703125" style="8" customWidth="1"/>
    <col min="6152" max="6152" width="26.7109375" style="8" customWidth="1"/>
    <col min="6153" max="6153" width="20.85546875" style="8" customWidth="1"/>
    <col min="6154" max="6154" width="0" style="8" hidden="1" customWidth="1"/>
    <col min="6155" max="6155" width="22.85546875" style="8" customWidth="1"/>
    <col min="6156" max="6400" width="9.140625" style="8"/>
    <col min="6401" max="6401" width="21.28515625" style="8" customWidth="1"/>
    <col min="6402" max="6402" width="10.140625" style="8" customWidth="1"/>
    <col min="6403" max="6403" width="85.42578125" style="8" customWidth="1"/>
    <col min="6404" max="6404" width="26.7109375" style="8" customWidth="1"/>
    <col min="6405" max="6406" width="0" style="8" hidden="1" customWidth="1"/>
    <col min="6407" max="6407" width="26.5703125" style="8" customWidth="1"/>
    <col min="6408" max="6408" width="26.7109375" style="8" customWidth="1"/>
    <col min="6409" max="6409" width="20.85546875" style="8" customWidth="1"/>
    <col min="6410" max="6410" width="0" style="8" hidden="1" customWidth="1"/>
    <col min="6411" max="6411" width="22.85546875" style="8" customWidth="1"/>
    <col min="6412" max="6656" width="9.140625" style="8"/>
    <col min="6657" max="6657" width="21.28515625" style="8" customWidth="1"/>
    <col min="6658" max="6658" width="10.140625" style="8" customWidth="1"/>
    <col min="6659" max="6659" width="85.42578125" style="8" customWidth="1"/>
    <col min="6660" max="6660" width="26.7109375" style="8" customWidth="1"/>
    <col min="6661" max="6662" width="0" style="8" hidden="1" customWidth="1"/>
    <col min="6663" max="6663" width="26.5703125" style="8" customWidth="1"/>
    <col min="6664" max="6664" width="26.7109375" style="8" customWidth="1"/>
    <col min="6665" max="6665" width="20.85546875" style="8" customWidth="1"/>
    <col min="6666" max="6666" width="0" style="8" hidden="1" customWidth="1"/>
    <col min="6667" max="6667" width="22.85546875" style="8" customWidth="1"/>
    <col min="6668" max="6912" width="9.140625" style="8"/>
    <col min="6913" max="6913" width="21.28515625" style="8" customWidth="1"/>
    <col min="6914" max="6914" width="10.140625" style="8" customWidth="1"/>
    <col min="6915" max="6915" width="85.42578125" style="8" customWidth="1"/>
    <col min="6916" max="6916" width="26.7109375" style="8" customWidth="1"/>
    <col min="6917" max="6918" width="0" style="8" hidden="1" customWidth="1"/>
    <col min="6919" max="6919" width="26.5703125" style="8" customWidth="1"/>
    <col min="6920" max="6920" width="26.7109375" style="8" customWidth="1"/>
    <col min="6921" max="6921" width="20.85546875" style="8" customWidth="1"/>
    <col min="6922" max="6922" width="0" style="8" hidden="1" customWidth="1"/>
    <col min="6923" max="6923" width="22.85546875" style="8" customWidth="1"/>
    <col min="6924" max="7168" width="9.140625" style="8"/>
    <col min="7169" max="7169" width="21.28515625" style="8" customWidth="1"/>
    <col min="7170" max="7170" width="10.140625" style="8" customWidth="1"/>
    <col min="7171" max="7171" width="85.42578125" style="8" customWidth="1"/>
    <col min="7172" max="7172" width="26.7109375" style="8" customWidth="1"/>
    <col min="7173" max="7174" width="0" style="8" hidden="1" customWidth="1"/>
    <col min="7175" max="7175" width="26.5703125" style="8" customWidth="1"/>
    <col min="7176" max="7176" width="26.7109375" style="8" customWidth="1"/>
    <col min="7177" max="7177" width="20.85546875" style="8" customWidth="1"/>
    <col min="7178" max="7178" width="0" style="8" hidden="1" customWidth="1"/>
    <col min="7179" max="7179" width="22.85546875" style="8" customWidth="1"/>
    <col min="7180" max="7424" width="9.140625" style="8"/>
    <col min="7425" max="7425" width="21.28515625" style="8" customWidth="1"/>
    <col min="7426" max="7426" width="10.140625" style="8" customWidth="1"/>
    <col min="7427" max="7427" width="85.42578125" style="8" customWidth="1"/>
    <col min="7428" max="7428" width="26.7109375" style="8" customWidth="1"/>
    <col min="7429" max="7430" width="0" style="8" hidden="1" customWidth="1"/>
    <col min="7431" max="7431" width="26.5703125" style="8" customWidth="1"/>
    <col min="7432" max="7432" width="26.7109375" style="8" customWidth="1"/>
    <col min="7433" max="7433" width="20.85546875" style="8" customWidth="1"/>
    <col min="7434" max="7434" width="0" style="8" hidden="1" customWidth="1"/>
    <col min="7435" max="7435" width="22.85546875" style="8" customWidth="1"/>
    <col min="7436" max="7680" width="9.140625" style="8"/>
    <col min="7681" max="7681" width="21.28515625" style="8" customWidth="1"/>
    <col min="7682" max="7682" width="10.140625" style="8" customWidth="1"/>
    <col min="7683" max="7683" width="85.42578125" style="8" customWidth="1"/>
    <col min="7684" max="7684" width="26.7109375" style="8" customWidth="1"/>
    <col min="7685" max="7686" width="0" style="8" hidden="1" customWidth="1"/>
    <col min="7687" max="7687" width="26.5703125" style="8" customWidth="1"/>
    <col min="7688" max="7688" width="26.7109375" style="8" customWidth="1"/>
    <col min="7689" max="7689" width="20.85546875" style="8" customWidth="1"/>
    <col min="7690" max="7690" width="0" style="8" hidden="1" customWidth="1"/>
    <col min="7691" max="7691" width="22.85546875" style="8" customWidth="1"/>
    <col min="7692" max="7936" width="9.140625" style="8"/>
    <col min="7937" max="7937" width="21.28515625" style="8" customWidth="1"/>
    <col min="7938" max="7938" width="10.140625" style="8" customWidth="1"/>
    <col min="7939" max="7939" width="85.42578125" style="8" customWidth="1"/>
    <col min="7940" max="7940" width="26.7109375" style="8" customWidth="1"/>
    <col min="7941" max="7942" width="0" style="8" hidden="1" customWidth="1"/>
    <col min="7943" max="7943" width="26.5703125" style="8" customWidth="1"/>
    <col min="7944" max="7944" width="26.7109375" style="8" customWidth="1"/>
    <col min="7945" max="7945" width="20.85546875" style="8" customWidth="1"/>
    <col min="7946" max="7946" width="0" style="8" hidden="1" customWidth="1"/>
    <col min="7947" max="7947" width="22.85546875" style="8" customWidth="1"/>
    <col min="7948" max="8192" width="9.140625" style="8"/>
    <col min="8193" max="8193" width="21.28515625" style="8" customWidth="1"/>
    <col min="8194" max="8194" width="10.140625" style="8" customWidth="1"/>
    <col min="8195" max="8195" width="85.42578125" style="8" customWidth="1"/>
    <col min="8196" max="8196" width="26.7109375" style="8" customWidth="1"/>
    <col min="8197" max="8198" width="0" style="8" hidden="1" customWidth="1"/>
    <col min="8199" max="8199" width="26.5703125" style="8" customWidth="1"/>
    <col min="8200" max="8200" width="26.7109375" style="8" customWidth="1"/>
    <col min="8201" max="8201" width="20.85546875" style="8" customWidth="1"/>
    <col min="8202" max="8202" width="0" style="8" hidden="1" customWidth="1"/>
    <col min="8203" max="8203" width="22.85546875" style="8" customWidth="1"/>
    <col min="8204" max="8448" width="9.140625" style="8"/>
    <col min="8449" max="8449" width="21.28515625" style="8" customWidth="1"/>
    <col min="8450" max="8450" width="10.140625" style="8" customWidth="1"/>
    <col min="8451" max="8451" width="85.42578125" style="8" customWidth="1"/>
    <col min="8452" max="8452" width="26.7109375" style="8" customWidth="1"/>
    <col min="8453" max="8454" width="0" style="8" hidden="1" customWidth="1"/>
    <col min="8455" max="8455" width="26.5703125" style="8" customWidth="1"/>
    <col min="8456" max="8456" width="26.7109375" style="8" customWidth="1"/>
    <col min="8457" max="8457" width="20.85546875" style="8" customWidth="1"/>
    <col min="8458" max="8458" width="0" style="8" hidden="1" customWidth="1"/>
    <col min="8459" max="8459" width="22.85546875" style="8" customWidth="1"/>
    <col min="8460" max="8704" width="9.140625" style="8"/>
    <col min="8705" max="8705" width="21.28515625" style="8" customWidth="1"/>
    <col min="8706" max="8706" width="10.140625" style="8" customWidth="1"/>
    <col min="8707" max="8707" width="85.42578125" style="8" customWidth="1"/>
    <col min="8708" max="8708" width="26.7109375" style="8" customWidth="1"/>
    <col min="8709" max="8710" width="0" style="8" hidden="1" customWidth="1"/>
    <col min="8711" max="8711" width="26.5703125" style="8" customWidth="1"/>
    <col min="8712" max="8712" width="26.7109375" style="8" customWidth="1"/>
    <col min="8713" max="8713" width="20.85546875" style="8" customWidth="1"/>
    <col min="8714" max="8714" width="0" style="8" hidden="1" customWidth="1"/>
    <col min="8715" max="8715" width="22.85546875" style="8" customWidth="1"/>
    <col min="8716" max="8960" width="9.140625" style="8"/>
    <col min="8961" max="8961" width="21.28515625" style="8" customWidth="1"/>
    <col min="8962" max="8962" width="10.140625" style="8" customWidth="1"/>
    <col min="8963" max="8963" width="85.42578125" style="8" customWidth="1"/>
    <col min="8964" max="8964" width="26.7109375" style="8" customWidth="1"/>
    <col min="8965" max="8966" width="0" style="8" hidden="1" customWidth="1"/>
    <col min="8967" max="8967" width="26.5703125" style="8" customWidth="1"/>
    <col min="8968" max="8968" width="26.7109375" style="8" customWidth="1"/>
    <col min="8969" max="8969" width="20.85546875" style="8" customWidth="1"/>
    <col min="8970" max="8970" width="0" style="8" hidden="1" customWidth="1"/>
    <col min="8971" max="8971" width="22.85546875" style="8" customWidth="1"/>
    <col min="8972" max="9216" width="9.140625" style="8"/>
    <col min="9217" max="9217" width="21.28515625" style="8" customWidth="1"/>
    <col min="9218" max="9218" width="10.140625" style="8" customWidth="1"/>
    <col min="9219" max="9219" width="85.42578125" style="8" customWidth="1"/>
    <col min="9220" max="9220" width="26.7109375" style="8" customWidth="1"/>
    <col min="9221" max="9222" width="0" style="8" hidden="1" customWidth="1"/>
    <col min="9223" max="9223" width="26.5703125" style="8" customWidth="1"/>
    <col min="9224" max="9224" width="26.7109375" style="8" customWidth="1"/>
    <col min="9225" max="9225" width="20.85546875" style="8" customWidth="1"/>
    <col min="9226" max="9226" width="0" style="8" hidden="1" customWidth="1"/>
    <col min="9227" max="9227" width="22.85546875" style="8" customWidth="1"/>
    <col min="9228" max="9472" width="9.140625" style="8"/>
    <col min="9473" max="9473" width="21.28515625" style="8" customWidth="1"/>
    <col min="9474" max="9474" width="10.140625" style="8" customWidth="1"/>
    <col min="9475" max="9475" width="85.42578125" style="8" customWidth="1"/>
    <col min="9476" max="9476" width="26.7109375" style="8" customWidth="1"/>
    <col min="9477" max="9478" width="0" style="8" hidden="1" customWidth="1"/>
    <col min="9479" max="9479" width="26.5703125" style="8" customWidth="1"/>
    <col min="9480" max="9480" width="26.7109375" style="8" customWidth="1"/>
    <col min="9481" max="9481" width="20.85546875" style="8" customWidth="1"/>
    <col min="9482" max="9482" width="0" style="8" hidden="1" customWidth="1"/>
    <col min="9483" max="9483" width="22.85546875" style="8" customWidth="1"/>
    <col min="9484" max="9728" width="9.140625" style="8"/>
    <col min="9729" max="9729" width="21.28515625" style="8" customWidth="1"/>
    <col min="9730" max="9730" width="10.140625" style="8" customWidth="1"/>
    <col min="9731" max="9731" width="85.42578125" style="8" customWidth="1"/>
    <col min="9732" max="9732" width="26.7109375" style="8" customWidth="1"/>
    <col min="9733" max="9734" width="0" style="8" hidden="1" customWidth="1"/>
    <col min="9735" max="9735" width="26.5703125" style="8" customWidth="1"/>
    <col min="9736" max="9736" width="26.7109375" style="8" customWidth="1"/>
    <col min="9737" max="9737" width="20.85546875" style="8" customWidth="1"/>
    <col min="9738" max="9738" width="0" style="8" hidden="1" customWidth="1"/>
    <col min="9739" max="9739" width="22.85546875" style="8" customWidth="1"/>
    <col min="9740" max="9984" width="9.140625" style="8"/>
    <col min="9985" max="9985" width="21.28515625" style="8" customWidth="1"/>
    <col min="9986" max="9986" width="10.140625" style="8" customWidth="1"/>
    <col min="9987" max="9987" width="85.42578125" style="8" customWidth="1"/>
    <col min="9988" max="9988" width="26.7109375" style="8" customWidth="1"/>
    <col min="9989" max="9990" width="0" style="8" hidden="1" customWidth="1"/>
    <col min="9991" max="9991" width="26.5703125" style="8" customWidth="1"/>
    <col min="9992" max="9992" width="26.7109375" style="8" customWidth="1"/>
    <col min="9993" max="9993" width="20.85546875" style="8" customWidth="1"/>
    <col min="9994" max="9994" width="0" style="8" hidden="1" customWidth="1"/>
    <col min="9995" max="9995" width="22.85546875" style="8" customWidth="1"/>
    <col min="9996" max="10240" width="9.140625" style="8"/>
    <col min="10241" max="10241" width="21.28515625" style="8" customWidth="1"/>
    <col min="10242" max="10242" width="10.140625" style="8" customWidth="1"/>
    <col min="10243" max="10243" width="85.42578125" style="8" customWidth="1"/>
    <col min="10244" max="10244" width="26.7109375" style="8" customWidth="1"/>
    <col min="10245" max="10246" width="0" style="8" hidden="1" customWidth="1"/>
    <col min="10247" max="10247" width="26.5703125" style="8" customWidth="1"/>
    <col min="10248" max="10248" width="26.7109375" style="8" customWidth="1"/>
    <col min="10249" max="10249" width="20.85546875" style="8" customWidth="1"/>
    <col min="10250" max="10250" width="0" style="8" hidden="1" customWidth="1"/>
    <col min="10251" max="10251" width="22.85546875" style="8" customWidth="1"/>
    <col min="10252" max="10496" width="9.140625" style="8"/>
    <col min="10497" max="10497" width="21.28515625" style="8" customWidth="1"/>
    <col min="10498" max="10498" width="10.140625" style="8" customWidth="1"/>
    <col min="10499" max="10499" width="85.42578125" style="8" customWidth="1"/>
    <col min="10500" max="10500" width="26.7109375" style="8" customWidth="1"/>
    <col min="10501" max="10502" width="0" style="8" hidden="1" customWidth="1"/>
    <col min="10503" max="10503" width="26.5703125" style="8" customWidth="1"/>
    <col min="10504" max="10504" width="26.7109375" style="8" customWidth="1"/>
    <col min="10505" max="10505" width="20.85546875" style="8" customWidth="1"/>
    <col min="10506" max="10506" width="0" style="8" hidden="1" customWidth="1"/>
    <col min="10507" max="10507" width="22.85546875" style="8" customWidth="1"/>
    <col min="10508" max="10752" width="9.140625" style="8"/>
    <col min="10753" max="10753" width="21.28515625" style="8" customWidth="1"/>
    <col min="10754" max="10754" width="10.140625" style="8" customWidth="1"/>
    <col min="10755" max="10755" width="85.42578125" style="8" customWidth="1"/>
    <col min="10756" max="10756" width="26.7109375" style="8" customWidth="1"/>
    <col min="10757" max="10758" width="0" style="8" hidden="1" customWidth="1"/>
    <col min="10759" max="10759" width="26.5703125" style="8" customWidth="1"/>
    <col min="10760" max="10760" width="26.7109375" style="8" customWidth="1"/>
    <col min="10761" max="10761" width="20.85546875" style="8" customWidth="1"/>
    <col min="10762" max="10762" width="0" style="8" hidden="1" customWidth="1"/>
    <col min="10763" max="10763" width="22.85546875" style="8" customWidth="1"/>
    <col min="10764" max="11008" width="9.140625" style="8"/>
    <col min="11009" max="11009" width="21.28515625" style="8" customWidth="1"/>
    <col min="11010" max="11010" width="10.140625" style="8" customWidth="1"/>
    <col min="11011" max="11011" width="85.42578125" style="8" customWidth="1"/>
    <col min="11012" max="11012" width="26.7109375" style="8" customWidth="1"/>
    <col min="11013" max="11014" width="0" style="8" hidden="1" customWidth="1"/>
    <col min="11015" max="11015" width="26.5703125" style="8" customWidth="1"/>
    <col min="11016" max="11016" width="26.7109375" style="8" customWidth="1"/>
    <col min="11017" max="11017" width="20.85546875" style="8" customWidth="1"/>
    <col min="11018" max="11018" width="0" style="8" hidden="1" customWidth="1"/>
    <col min="11019" max="11019" width="22.85546875" style="8" customWidth="1"/>
    <col min="11020" max="11264" width="9.140625" style="8"/>
    <col min="11265" max="11265" width="21.28515625" style="8" customWidth="1"/>
    <col min="11266" max="11266" width="10.140625" style="8" customWidth="1"/>
    <col min="11267" max="11267" width="85.42578125" style="8" customWidth="1"/>
    <col min="11268" max="11268" width="26.7109375" style="8" customWidth="1"/>
    <col min="11269" max="11270" width="0" style="8" hidden="1" customWidth="1"/>
    <col min="11271" max="11271" width="26.5703125" style="8" customWidth="1"/>
    <col min="11272" max="11272" width="26.7109375" style="8" customWidth="1"/>
    <col min="11273" max="11273" width="20.85546875" style="8" customWidth="1"/>
    <col min="11274" max="11274" width="0" style="8" hidden="1" customWidth="1"/>
    <col min="11275" max="11275" width="22.85546875" style="8" customWidth="1"/>
    <col min="11276" max="11520" width="9.140625" style="8"/>
    <col min="11521" max="11521" width="21.28515625" style="8" customWidth="1"/>
    <col min="11522" max="11522" width="10.140625" style="8" customWidth="1"/>
    <col min="11523" max="11523" width="85.42578125" style="8" customWidth="1"/>
    <col min="11524" max="11524" width="26.7109375" style="8" customWidth="1"/>
    <col min="11525" max="11526" width="0" style="8" hidden="1" customWidth="1"/>
    <col min="11527" max="11527" width="26.5703125" style="8" customWidth="1"/>
    <col min="11528" max="11528" width="26.7109375" style="8" customWidth="1"/>
    <col min="11529" max="11529" width="20.85546875" style="8" customWidth="1"/>
    <col min="11530" max="11530" width="0" style="8" hidden="1" customWidth="1"/>
    <col min="11531" max="11531" width="22.85546875" style="8" customWidth="1"/>
    <col min="11532" max="11776" width="9.140625" style="8"/>
    <col min="11777" max="11777" width="21.28515625" style="8" customWidth="1"/>
    <col min="11778" max="11778" width="10.140625" style="8" customWidth="1"/>
    <col min="11779" max="11779" width="85.42578125" style="8" customWidth="1"/>
    <col min="11780" max="11780" width="26.7109375" style="8" customWidth="1"/>
    <col min="11781" max="11782" width="0" style="8" hidden="1" customWidth="1"/>
    <col min="11783" max="11783" width="26.5703125" style="8" customWidth="1"/>
    <col min="11784" max="11784" width="26.7109375" style="8" customWidth="1"/>
    <col min="11785" max="11785" width="20.85546875" style="8" customWidth="1"/>
    <col min="11786" max="11786" width="0" style="8" hidden="1" customWidth="1"/>
    <col min="11787" max="11787" width="22.85546875" style="8" customWidth="1"/>
    <col min="11788" max="12032" width="9.140625" style="8"/>
    <col min="12033" max="12033" width="21.28515625" style="8" customWidth="1"/>
    <col min="12034" max="12034" width="10.140625" style="8" customWidth="1"/>
    <col min="12035" max="12035" width="85.42578125" style="8" customWidth="1"/>
    <col min="12036" max="12036" width="26.7109375" style="8" customWidth="1"/>
    <col min="12037" max="12038" width="0" style="8" hidden="1" customWidth="1"/>
    <col min="12039" max="12039" width="26.5703125" style="8" customWidth="1"/>
    <col min="12040" max="12040" width="26.7109375" style="8" customWidth="1"/>
    <col min="12041" max="12041" width="20.85546875" style="8" customWidth="1"/>
    <col min="12042" max="12042" width="0" style="8" hidden="1" customWidth="1"/>
    <col min="12043" max="12043" width="22.85546875" style="8" customWidth="1"/>
    <col min="12044" max="12288" width="9.140625" style="8"/>
    <col min="12289" max="12289" width="21.28515625" style="8" customWidth="1"/>
    <col min="12290" max="12290" width="10.140625" style="8" customWidth="1"/>
    <col min="12291" max="12291" width="85.42578125" style="8" customWidth="1"/>
    <col min="12292" max="12292" width="26.7109375" style="8" customWidth="1"/>
    <col min="12293" max="12294" width="0" style="8" hidden="1" customWidth="1"/>
    <col min="12295" max="12295" width="26.5703125" style="8" customWidth="1"/>
    <col min="12296" max="12296" width="26.7109375" style="8" customWidth="1"/>
    <col min="12297" max="12297" width="20.85546875" style="8" customWidth="1"/>
    <col min="12298" max="12298" width="0" style="8" hidden="1" customWidth="1"/>
    <col min="12299" max="12299" width="22.85546875" style="8" customWidth="1"/>
    <col min="12300" max="12544" width="9.140625" style="8"/>
    <col min="12545" max="12545" width="21.28515625" style="8" customWidth="1"/>
    <col min="12546" max="12546" width="10.140625" style="8" customWidth="1"/>
    <col min="12547" max="12547" width="85.42578125" style="8" customWidth="1"/>
    <col min="12548" max="12548" width="26.7109375" style="8" customWidth="1"/>
    <col min="12549" max="12550" width="0" style="8" hidden="1" customWidth="1"/>
    <col min="12551" max="12551" width="26.5703125" style="8" customWidth="1"/>
    <col min="12552" max="12552" width="26.7109375" style="8" customWidth="1"/>
    <col min="12553" max="12553" width="20.85546875" style="8" customWidth="1"/>
    <col min="12554" max="12554" width="0" style="8" hidden="1" customWidth="1"/>
    <col min="12555" max="12555" width="22.85546875" style="8" customWidth="1"/>
    <col min="12556" max="12800" width="9.140625" style="8"/>
    <col min="12801" max="12801" width="21.28515625" style="8" customWidth="1"/>
    <col min="12802" max="12802" width="10.140625" style="8" customWidth="1"/>
    <col min="12803" max="12803" width="85.42578125" style="8" customWidth="1"/>
    <col min="12804" max="12804" width="26.7109375" style="8" customWidth="1"/>
    <col min="12805" max="12806" width="0" style="8" hidden="1" customWidth="1"/>
    <col min="12807" max="12807" width="26.5703125" style="8" customWidth="1"/>
    <col min="12808" max="12808" width="26.7109375" style="8" customWidth="1"/>
    <col min="12809" max="12809" width="20.85546875" style="8" customWidth="1"/>
    <col min="12810" max="12810" width="0" style="8" hidden="1" customWidth="1"/>
    <col min="12811" max="12811" width="22.85546875" style="8" customWidth="1"/>
    <col min="12812" max="13056" width="9.140625" style="8"/>
    <col min="13057" max="13057" width="21.28515625" style="8" customWidth="1"/>
    <col min="13058" max="13058" width="10.140625" style="8" customWidth="1"/>
    <col min="13059" max="13059" width="85.42578125" style="8" customWidth="1"/>
    <col min="13060" max="13060" width="26.7109375" style="8" customWidth="1"/>
    <col min="13061" max="13062" width="0" style="8" hidden="1" customWidth="1"/>
    <col min="13063" max="13063" width="26.5703125" style="8" customWidth="1"/>
    <col min="13064" max="13064" width="26.7109375" style="8" customWidth="1"/>
    <col min="13065" max="13065" width="20.85546875" style="8" customWidth="1"/>
    <col min="13066" max="13066" width="0" style="8" hidden="1" customWidth="1"/>
    <col min="13067" max="13067" width="22.85546875" style="8" customWidth="1"/>
    <col min="13068" max="13312" width="9.140625" style="8"/>
    <col min="13313" max="13313" width="21.28515625" style="8" customWidth="1"/>
    <col min="13314" max="13314" width="10.140625" style="8" customWidth="1"/>
    <col min="13315" max="13315" width="85.42578125" style="8" customWidth="1"/>
    <col min="13316" max="13316" width="26.7109375" style="8" customWidth="1"/>
    <col min="13317" max="13318" width="0" style="8" hidden="1" customWidth="1"/>
    <col min="13319" max="13319" width="26.5703125" style="8" customWidth="1"/>
    <col min="13320" max="13320" width="26.7109375" style="8" customWidth="1"/>
    <col min="13321" max="13321" width="20.85546875" style="8" customWidth="1"/>
    <col min="13322" max="13322" width="0" style="8" hidden="1" customWidth="1"/>
    <col min="13323" max="13323" width="22.85546875" style="8" customWidth="1"/>
    <col min="13324" max="13568" width="9.140625" style="8"/>
    <col min="13569" max="13569" width="21.28515625" style="8" customWidth="1"/>
    <col min="13570" max="13570" width="10.140625" style="8" customWidth="1"/>
    <col min="13571" max="13571" width="85.42578125" style="8" customWidth="1"/>
    <col min="13572" max="13572" width="26.7109375" style="8" customWidth="1"/>
    <col min="13573" max="13574" width="0" style="8" hidden="1" customWidth="1"/>
    <col min="13575" max="13575" width="26.5703125" style="8" customWidth="1"/>
    <col min="13576" max="13576" width="26.7109375" style="8" customWidth="1"/>
    <col min="13577" max="13577" width="20.85546875" style="8" customWidth="1"/>
    <col min="13578" max="13578" width="0" style="8" hidden="1" customWidth="1"/>
    <col min="13579" max="13579" width="22.85546875" style="8" customWidth="1"/>
    <col min="13580" max="13824" width="9.140625" style="8"/>
    <col min="13825" max="13825" width="21.28515625" style="8" customWidth="1"/>
    <col min="13826" max="13826" width="10.140625" style="8" customWidth="1"/>
    <col min="13827" max="13827" width="85.42578125" style="8" customWidth="1"/>
    <col min="13828" max="13828" width="26.7109375" style="8" customWidth="1"/>
    <col min="13829" max="13830" width="0" style="8" hidden="1" customWidth="1"/>
    <col min="13831" max="13831" width="26.5703125" style="8" customWidth="1"/>
    <col min="13832" max="13832" width="26.7109375" style="8" customWidth="1"/>
    <col min="13833" max="13833" width="20.85546875" style="8" customWidth="1"/>
    <col min="13834" max="13834" width="0" style="8" hidden="1" customWidth="1"/>
    <col min="13835" max="13835" width="22.85546875" style="8" customWidth="1"/>
    <col min="13836" max="14080" width="9.140625" style="8"/>
    <col min="14081" max="14081" width="21.28515625" style="8" customWidth="1"/>
    <col min="14082" max="14082" width="10.140625" style="8" customWidth="1"/>
    <col min="14083" max="14083" width="85.42578125" style="8" customWidth="1"/>
    <col min="14084" max="14084" width="26.7109375" style="8" customWidth="1"/>
    <col min="14085" max="14086" width="0" style="8" hidden="1" customWidth="1"/>
    <col min="14087" max="14087" width="26.5703125" style="8" customWidth="1"/>
    <col min="14088" max="14088" width="26.7109375" style="8" customWidth="1"/>
    <col min="14089" max="14089" width="20.85546875" style="8" customWidth="1"/>
    <col min="14090" max="14090" width="0" style="8" hidden="1" customWidth="1"/>
    <col min="14091" max="14091" width="22.85546875" style="8" customWidth="1"/>
    <col min="14092" max="14336" width="9.140625" style="8"/>
    <col min="14337" max="14337" width="21.28515625" style="8" customWidth="1"/>
    <col min="14338" max="14338" width="10.140625" style="8" customWidth="1"/>
    <col min="14339" max="14339" width="85.42578125" style="8" customWidth="1"/>
    <col min="14340" max="14340" width="26.7109375" style="8" customWidth="1"/>
    <col min="14341" max="14342" width="0" style="8" hidden="1" customWidth="1"/>
    <col min="14343" max="14343" width="26.5703125" style="8" customWidth="1"/>
    <col min="14344" max="14344" width="26.7109375" style="8" customWidth="1"/>
    <col min="14345" max="14345" width="20.85546875" style="8" customWidth="1"/>
    <col min="14346" max="14346" width="0" style="8" hidden="1" customWidth="1"/>
    <col min="14347" max="14347" width="22.85546875" style="8" customWidth="1"/>
    <col min="14348" max="14592" width="9.140625" style="8"/>
    <col min="14593" max="14593" width="21.28515625" style="8" customWidth="1"/>
    <col min="14594" max="14594" width="10.140625" style="8" customWidth="1"/>
    <col min="14595" max="14595" width="85.42578125" style="8" customWidth="1"/>
    <col min="14596" max="14596" width="26.7109375" style="8" customWidth="1"/>
    <col min="14597" max="14598" width="0" style="8" hidden="1" customWidth="1"/>
    <col min="14599" max="14599" width="26.5703125" style="8" customWidth="1"/>
    <col min="14600" max="14600" width="26.7109375" style="8" customWidth="1"/>
    <col min="14601" max="14601" width="20.85546875" style="8" customWidth="1"/>
    <col min="14602" max="14602" width="0" style="8" hidden="1" customWidth="1"/>
    <col min="14603" max="14603" width="22.85546875" style="8" customWidth="1"/>
    <col min="14604" max="14848" width="9.140625" style="8"/>
    <col min="14849" max="14849" width="21.28515625" style="8" customWidth="1"/>
    <col min="14850" max="14850" width="10.140625" style="8" customWidth="1"/>
    <col min="14851" max="14851" width="85.42578125" style="8" customWidth="1"/>
    <col min="14852" max="14852" width="26.7109375" style="8" customWidth="1"/>
    <col min="14853" max="14854" width="0" style="8" hidden="1" customWidth="1"/>
    <col min="14855" max="14855" width="26.5703125" style="8" customWidth="1"/>
    <col min="14856" max="14856" width="26.7109375" style="8" customWidth="1"/>
    <col min="14857" max="14857" width="20.85546875" style="8" customWidth="1"/>
    <col min="14858" max="14858" width="0" style="8" hidden="1" customWidth="1"/>
    <col min="14859" max="14859" width="22.85546875" style="8" customWidth="1"/>
    <col min="14860" max="15104" width="9.140625" style="8"/>
    <col min="15105" max="15105" width="21.28515625" style="8" customWidth="1"/>
    <col min="15106" max="15106" width="10.140625" style="8" customWidth="1"/>
    <col min="15107" max="15107" width="85.42578125" style="8" customWidth="1"/>
    <col min="15108" max="15108" width="26.7109375" style="8" customWidth="1"/>
    <col min="15109" max="15110" width="0" style="8" hidden="1" customWidth="1"/>
    <col min="15111" max="15111" width="26.5703125" style="8" customWidth="1"/>
    <col min="15112" max="15112" width="26.7109375" style="8" customWidth="1"/>
    <col min="15113" max="15113" width="20.85546875" style="8" customWidth="1"/>
    <col min="15114" max="15114" width="0" style="8" hidden="1" customWidth="1"/>
    <col min="15115" max="15115" width="22.85546875" style="8" customWidth="1"/>
    <col min="15116" max="15360" width="9.140625" style="8"/>
    <col min="15361" max="15361" width="21.28515625" style="8" customWidth="1"/>
    <col min="15362" max="15362" width="10.140625" style="8" customWidth="1"/>
    <col min="15363" max="15363" width="85.42578125" style="8" customWidth="1"/>
    <col min="15364" max="15364" width="26.7109375" style="8" customWidth="1"/>
    <col min="15365" max="15366" width="0" style="8" hidden="1" customWidth="1"/>
    <col min="15367" max="15367" width="26.5703125" style="8" customWidth="1"/>
    <col min="15368" max="15368" width="26.7109375" style="8" customWidth="1"/>
    <col min="15369" max="15369" width="20.85546875" style="8" customWidth="1"/>
    <col min="15370" max="15370" width="0" style="8" hidden="1" customWidth="1"/>
    <col min="15371" max="15371" width="22.85546875" style="8" customWidth="1"/>
    <col min="15372" max="15616" width="9.140625" style="8"/>
    <col min="15617" max="15617" width="21.28515625" style="8" customWidth="1"/>
    <col min="15618" max="15618" width="10.140625" style="8" customWidth="1"/>
    <col min="15619" max="15619" width="85.42578125" style="8" customWidth="1"/>
    <col min="15620" max="15620" width="26.7109375" style="8" customWidth="1"/>
    <col min="15621" max="15622" width="0" style="8" hidden="1" customWidth="1"/>
    <col min="15623" max="15623" width="26.5703125" style="8" customWidth="1"/>
    <col min="15624" max="15624" width="26.7109375" style="8" customWidth="1"/>
    <col min="15625" max="15625" width="20.85546875" style="8" customWidth="1"/>
    <col min="15626" max="15626" width="0" style="8" hidden="1" customWidth="1"/>
    <col min="15627" max="15627" width="22.85546875" style="8" customWidth="1"/>
    <col min="15628" max="15872" width="9.140625" style="8"/>
    <col min="15873" max="15873" width="21.28515625" style="8" customWidth="1"/>
    <col min="15874" max="15874" width="10.140625" style="8" customWidth="1"/>
    <col min="15875" max="15875" width="85.42578125" style="8" customWidth="1"/>
    <col min="15876" max="15876" width="26.7109375" style="8" customWidth="1"/>
    <col min="15877" max="15878" width="0" style="8" hidden="1" customWidth="1"/>
    <col min="15879" max="15879" width="26.5703125" style="8" customWidth="1"/>
    <col min="15880" max="15880" width="26.7109375" style="8" customWidth="1"/>
    <col min="15881" max="15881" width="20.85546875" style="8" customWidth="1"/>
    <col min="15882" max="15882" width="0" style="8" hidden="1" customWidth="1"/>
    <col min="15883" max="15883" width="22.85546875" style="8" customWidth="1"/>
    <col min="15884" max="16128" width="9.140625" style="8"/>
    <col min="16129" max="16129" width="21.28515625" style="8" customWidth="1"/>
    <col min="16130" max="16130" width="10.140625" style="8" customWidth="1"/>
    <col min="16131" max="16131" width="85.42578125" style="8" customWidth="1"/>
    <col min="16132" max="16132" width="26.7109375" style="8" customWidth="1"/>
    <col min="16133" max="16134" width="0" style="8" hidden="1" customWidth="1"/>
    <col min="16135" max="16135" width="26.5703125" style="8" customWidth="1"/>
    <col min="16136" max="16136" width="26.7109375" style="8" customWidth="1"/>
    <col min="16137" max="16137" width="20.85546875" style="8" customWidth="1"/>
    <col min="16138" max="16138" width="0" style="8" hidden="1" customWidth="1"/>
    <col min="16139" max="16139" width="22.85546875" style="8" customWidth="1"/>
    <col min="16140" max="16384" width="9.140625" style="8"/>
  </cols>
  <sheetData>
    <row r="1" spans="1:11" ht="29.25" customHeight="1" thickBot="1">
      <c r="A1" s="1" t="s">
        <v>0</v>
      </c>
      <c r="B1" s="2" t="s">
        <v>1</v>
      </c>
      <c r="C1" s="3" t="s">
        <v>2</v>
      </c>
      <c r="D1" s="4" t="s">
        <v>3</v>
      </c>
      <c r="E1" s="5"/>
      <c r="F1" s="5"/>
      <c r="G1" s="4" t="s">
        <v>4</v>
      </c>
      <c r="H1" s="4" t="s">
        <v>5</v>
      </c>
      <c r="I1" s="6" t="s">
        <v>6</v>
      </c>
      <c r="J1" s="7" t="s">
        <v>7</v>
      </c>
      <c r="K1" s="4" t="s">
        <v>8</v>
      </c>
    </row>
    <row r="2" spans="1:11" ht="14.25" customHeight="1" thickBot="1">
      <c r="A2" s="9"/>
      <c r="B2" s="10"/>
      <c r="C2" s="11"/>
      <c r="D2" s="4"/>
      <c r="E2" s="5"/>
      <c r="F2" s="5"/>
      <c r="G2" s="4"/>
      <c r="H2" s="4"/>
      <c r="I2" s="12"/>
      <c r="J2" s="7"/>
      <c r="K2" s="4" t="s">
        <v>9</v>
      </c>
    </row>
    <row r="3" spans="1:11" s="15" customFormat="1" ht="35.25" customHeight="1" thickBot="1">
      <c r="A3" s="9"/>
      <c r="B3" s="10"/>
      <c r="C3" s="11"/>
      <c r="D3" s="4"/>
      <c r="E3" s="13"/>
      <c r="F3" s="14"/>
      <c r="G3" s="4"/>
      <c r="H3" s="4"/>
      <c r="I3" s="12"/>
      <c r="J3" s="7"/>
      <c r="K3" s="4" t="s">
        <v>10</v>
      </c>
    </row>
    <row r="4" spans="1:11" ht="9.1999999999999993" hidden="1" customHeight="1">
      <c r="A4" s="16"/>
      <c r="B4" s="17"/>
      <c r="C4" s="18"/>
      <c r="D4" s="4"/>
      <c r="E4" s="5"/>
      <c r="F4" s="5"/>
      <c r="G4" s="4"/>
      <c r="H4" s="4"/>
      <c r="I4" s="19"/>
      <c r="J4" s="7"/>
      <c r="K4" s="20" t="s">
        <v>9</v>
      </c>
    </row>
    <row r="5" spans="1:11" ht="45" customHeight="1" thickBot="1">
      <c r="A5" s="21" t="s">
        <v>11</v>
      </c>
      <c r="B5" s="22" t="s">
        <v>12</v>
      </c>
      <c r="C5" s="23" t="s">
        <v>13</v>
      </c>
      <c r="D5" s="24">
        <v>52730</v>
      </c>
      <c r="E5" s="25"/>
      <c r="F5" s="25"/>
      <c r="G5" s="24">
        <v>49206.8</v>
      </c>
      <c r="H5" s="24">
        <v>47836.4</v>
      </c>
      <c r="I5" s="24">
        <v>97.215019062406</v>
      </c>
      <c r="J5" s="26">
        <v>48644.2</v>
      </c>
      <c r="K5" s="24">
        <v>-807.79999999999563</v>
      </c>
    </row>
    <row r="6" spans="1:11" s="32" customFormat="1" ht="45" customHeight="1" thickBot="1">
      <c r="A6" s="22" t="s">
        <v>14</v>
      </c>
      <c r="B6" s="27" t="s">
        <v>15</v>
      </c>
      <c r="C6" s="28" t="s">
        <v>16</v>
      </c>
      <c r="D6" s="29">
        <v>610</v>
      </c>
      <c r="E6" s="30"/>
      <c r="F6" s="30"/>
      <c r="G6" s="29">
        <f>610+100-300+27</f>
        <v>437</v>
      </c>
      <c r="H6" s="29">
        <v>291.60000000000002</v>
      </c>
      <c r="I6" s="29">
        <f t="shared" ref="I6:I76" si="0">H6/G6*100</f>
        <v>66.727688787185357</v>
      </c>
      <c r="J6" s="31">
        <v>610.6</v>
      </c>
      <c r="K6" s="24">
        <f t="shared" ref="K6:K69" si="1">H6-J6</f>
        <v>-319</v>
      </c>
    </row>
    <row r="7" spans="1:11" ht="45" customHeight="1" thickBot="1">
      <c r="A7" s="22" t="s">
        <v>17</v>
      </c>
      <c r="B7" s="27" t="s">
        <v>18</v>
      </c>
      <c r="C7" s="23" t="s">
        <v>19</v>
      </c>
      <c r="D7" s="29">
        <f>266760+2000+1128.6+441.927</f>
        <v>270330.527</v>
      </c>
      <c r="E7" s="25"/>
      <c r="F7" s="25"/>
      <c r="G7" s="29">
        <f>266760+2000+1128.6+441.927+222.7+2623.1-13283-1229.2+649-0.1+800+19+1000-1000+13.1-3438.5+8.5-7-964.5</f>
        <v>255743.62699999998</v>
      </c>
      <c r="H7" s="29">
        <f>262371.8-8724.1+35.5</f>
        <v>253683.19999999998</v>
      </c>
      <c r="I7" s="29">
        <f t="shared" si="0"/>
        <v>99.194338868119686</v>
      </c>
      <c r="J7" s="31">
        <v>242981.8</v>
      </c>
      <c r="K7" s="24">
        <f t="shared" si="1"/>
        <v>10701.399999999994</v>
      </c>
    </row>
    <row r="8" spans="1:11" ht="79.5" customHeight="1" thickBot="1">
      <c r="A8" s="33" t="s">
        <v>20</v>
      </c>
      <c r="B8" s="34" t="s">
        <v>21</v>
      </c>
      <c r="C8" s="35" t="s">
        <v>22</v>
      </c>
      <c r="D8" s="36"/>
      <c r="E8" s="25"/>
      <c r="F8" s="25"/>
      <c r="G8" s="36">
        <f>1000-964.5</f>
        <v>35.5</v>
      </c>
      <c r="H8" s="36">
        <v>35.5</v>
      </c>
      <c r="I8" s="36">
        <f t="shared" si="0"/>
        <v>100</v>
      </c>
      <c r="J8" s="37"/>
      <c r="K8" s="38">
        <f t="shared" si="1"/>
        <v>35.5</v>
      </c>
    </row>
    <row r="9" spans="1:11" ht="45" customHeight="1" thickBot="1">
      <c r="A9" s="22" t="s">
        <v>23</v>
      </c>
      <c r="B9" s="22" t="s">
        <v>24</v>
      </c>
      <c r="C9" s="23" t="s">
        <v>25</v>
      </c>
      <c r="D9" s="24">
        <f>SUM(D10:D12)</f>
        <v>10460</v>
      </c>
      <c r="E9" s="25"/>
      <c r="F9" s="25"/>
      <c r="G9" s="24">
        <f>SUM(G10:G12)</f>
        <v>15416.7</v>
      </c>
      <c r="H9" s="24">
        <f>SUM(H10:H12)</f>
        <v>14156.000000000002</v>
      </c>
      <c r="I9" s="24">
        <f t="shared" si="0"/>
        <v>91.822504167558563</v>
      </c>
      <c r="J9" s="26">
        <f>SUM(J10:J12)</f>
        <v>10201.6</v>
      </c>
      <c r="K9" s="24">
        <f t="shared" si="1"/>
        <v>3954.4000000000015</v>
      </c>
    </row>
    <row r="10" spans="1:11" ht="35.25" customHeight="1">
      <c r="A10" s="39" t="s">
        <v>26</v>
      </c>
      <c r="B10" s="39"/>
      <c r="C10" s="40" t="s">
        <v>27</v>
      </c>
      <c r="D10" s="41">
        <v>8300</v>
      </c>
      <c r="E10" s="25"/>
      <c r="F10" s="25"/>
      <c r="G10" s="41">
        <f>8300+100+2500+490</f>
        <v>11390</v>
      </c>
      <c r="H10" s="41">
        <v>10150.200000000001</v>
      </c>
      <c r="I10" s="41">
        <f t="shared" si="0"/>
        <v>89.115013169446883</v>
      </c>
      <c r="J10" s="42">
        <v>7482.5</v>
      </c>
      <c r="K10" s="38">
        <f t="shared" si="1"/>
        <v>2667.7000000000007</v>
      </c>
    </row>
    <row r="11" spans="1:11" ht="35.25" customHeight="1">
      <c r="A11" s="43" t="s">
        <v>28</v>
      </c>
      <c r="B11" s="43"/>
      <c r="C11" s="44" t="s">
        <v>29</v>
      </c>
      <c r="D11" s="45">
        <v>660</v>
      </c>
      <c r="E11" s="25"/>
      <c r="F11" s="25"/>
      <c r="G11" s="45">
        <f>660+673.7+500+240</f>
        <v>2073.6999999999998</v>
      </c>
      <c r="H11" s="45">
        <v>2073.6999999999998</v>
      </c>
      <c r="I11" s="45">
        <f t="shared" si="0"/>
        <v>100</v>
      </c>
      <c r="J11" s="46">
        <v>1079.7</v>
      </c>
      <c r="K11" s="47">
        <f t="shared" si="1"/>
        <v>993.99999999999977</v>
      </c>
    </row>
    <row r="12" spans="1:11" ht="34.5" customHeight="1" thickBot="1">
      <c r="A12" s="48" t="s">
        <v>30</v>
      </c>
      <c r="B12" s="48"/>
      <c r="C12" s="49" t="s">
        <v>31</v>
      </c>
      <c r="D12" s="50">
        <v>1500</v>
      </c>
      <c r="E12" s="25"/>
      <c r="F12" s="25"/>
      <c r="G12" s="50">
        <f>1500+200+6.8+200+11.6+8.3+8.4+8.1+9.8</f>
        <v>1952.9999999999998</v>
      </c>
      <c r="H12" s="50">
        <v>1932.1</v>
      </c>
      <c r="I12" s="50">
        <f t="shared" si="0"/>
        <v>98.929851510496675</v>
      </c>
      <c r="J12" s="51">
        <v>1639.4</v>
      </c>
      <c r="K12" s="52">
        <f t="shared" si="1"/>
        <v>292.69999999999982</v>
      </c>
    </row>
    <row r="13" spans="1:11" ht="45" customHeight="1" thickBot="1">
      <c r="A13" s="22" t="s">
        <v>32</v>
      </c>
      <c r="B13" s="22" t="s">
        <v>33</v>
      </c>
      <c r="C13" s="23" t="s">
        <v>34</v>
      </c>
      <c r="D13" s="24">
        <f>D14+D22+D27+D28+D32+D33+D34</f>
        <v>14046.800000000001</v>
      </c>
      <c r="E13" s="24">
        <f>E14+E22+E27+E28+E32+E33+E34</f>
        <v>0</v>
      </c>
      <c r="F13" s="24">
        <f>F14+F22+F27+F28+F32+F33+F34</f>
        <v>0</v>
      </c>
      <c r="G13" s="24">
        <f>G14+G22+G27+G28+G32+G33+G34</f>
        <v>20710.699999999997</v>
      </c>
      <c r="H13" s="24">
        <f>H14+H22+H27+H28+H32+H33+H34</f>
        <v>19478.900000000001</v>
      </c>
      <c r="I13" s="24">
        <f t="shared" si="0"/>
        <v>94.052349751577708</v>
      </c>
      <c r="J13" s="26">
        <f>J14+J22+J27+J28+J32+J33</f>
        <v>13235.2</v>
      </c>
      <c r="K13" s="24">
        <f t="shared" si="1"/>
        <v>6243.7000000000007</v>
      </c>
    </row>
    <row r="14" spans="1:11" ht="45" customHeight="1" thickBot="1">
      <c r="A14" s="22"/>
      <c r="B14" s="22" t="s">
        <v>35</v>
      </c>
      <c r="C14" s="23" t="s">
        <v>36</v>
      </c>
      <c r="D14" s="24">
        <f>SUM(D15:D21)</f>
        <v>2564.1</v>
      </c>
      <c r="E14" s="25"/>
      <c r="F14" s="25"/>
      <c r="G14" s="24">
        <f>SUM(G15:G21)</f>
        <v>5049.7</v>
      </c>
      <c r="H14" s="24">
        <f>SUM(H15:H21)</f>
        <v>4076.3999999999996</v>
      </c>
      <c r="I14" s="24">
        <f t="shared" si="0"/>
        <v>80.725587658672794</v>
      </c>
      <c r="J14" s="26">
        <f>SUM(J15:J21)</f>
        <v>3075.9999999999995</v>
      </c>
      <c r="K14" s="24">
        <f t="shared" si="1"/>
        <v>1000.4000000000001</v>
      </c>
    </row>
    <row r="15" spans="1:11" ht="35.25" customHeight="1">
      <c r="A15" s="33" t="s">
        <v>37</v>
      </c>
      <c r="B15" s="34"/>
      <c r="C15" s="35" t="s">
        <v>38</v>
      </c>
      <c r="D15" s="36">
        <v>540</v>
      </c>
      <c r="E15" s="25"/>
      <c r="F15" s="25"/>
      <c r="G15" s="36">
        <f>540-20</f>
        <v>520</v>
      </c>
      <c r="H15" s="36">
        <v>255.5</v>
      </c>
      <c r="I15" s="36">
        <f t="shared" si="0"/>
        <v>49.13461538461538</v>
      </c>
      <c r="J15" s="37">
        <v>856.7</v>
      </c>
      <c r="K15" s="38">
        <f t="shared" si="1"/>
        <v>-601.20000000000005</v>
      </c>
    </row>
    <row r="16" spans="1:11" ht="35.25" customHeight="1">
      <c r="A16" s="43" t="s">
        <v>39</v>
      </c>
      <c r="B16" s="53"/>
      <c r="C16" s="54" t="s">
        <v>40</v>
      </c>
      <c r="D16" s="45">
        <v>26.5</v>
      </c>
      <c r="E16" s="25"/>
      <c r="F16" s="25"/>
      <c r="G16" s="45">
        <v>26.5</v>
      </c>
      <c r="H16" s="45">
        <v>26.5</v>
      </c>
      <c r="I16" s="45">
        <f t="shared" si="0"/>
        <v>100</v>
      </c>
      <c r="J16" s="46">
        <v>30.5</v>
      </c>
      <c r="K16" s="47">
        <f t="shared" si="1"/>
        <v>-4</v>
      </c>
    </row>
    <row r="17" spans="1:11" ht="34.5" customHeight="1">
      <c r="A17" s="43" t="s">
        <v>41</v>
      </c>
      <c r="B17" s="53"/>
      <c r="C17" s="54" t="s">
        <v>42</v>
      </c>
      <c r="D17" s="45">
        <v>800</v>
      </c>
      <c r="E17" s="25"/>
      <c r="F17" s="25"/>
      <c r="G17" s="45">
        <f>800+500+500</f>
        <v>1800</v>
      </c>
      <c r="H17" s="45">
        <v>1695.1</v>
      </c>
      <c r="I17" s="45">
        <f t="shared" si="0"/>
        <v>94.172222222222217</v>
      </c>
      <c r="J17" s="46">
        <v>1241.5</v>
      </c>
      <c r="K17" s="55">
        <f t="shared" si="1"/>
        <v>453.59999999999991</v>
      </c>
    </row>
    <row r="18" spans="1:11" ht="42.75" hidden="1" customHeight="1">
      <c r="A18" s="56" t="s">
        <v>43</v>
      </c>
      <c r="B18" s="57"/>
      <c r="C18" s="58" t="s">
        <v>44</v>
      </c>
      <c r="D18" s="45"/>
      <c r="E18" s="25"/>
      <c r="F18" s="25"/>
      <c r="G18" s="45"/>
      <c r="H18" s="45"/>
      <c r="I18" s="45" t="e">
        <f t="shared" si="0"/>
        <v>#DIV/0!</v>
      </c>
      <c r="J18" s="46">
        <v>96.2</v>
      </c>
      <c r="K18" s="59">
        <f t="shared" si="1"/>
        <v>-96.2</v>
      </c>
    </row>
    <row r="19" spans="1:11" ht="79.5" customHeight="1">
      <c r="A19" s="43" t="s">
        <v>45</v>
      </c>
      <c r="B19" s="43"/>
      <c r="C19" s="54" t="s">
        <v>46</v>
      </c>
      <c r="D19" s="45">
        <v>450</v>
      </c>
      <c r="E19" s="25"/>
      <c r="F19" s="60"/>
      <c r="G19" s="45">
        <f>450+200+167.2</f>
        <v>817.2</v>
      </c>
      <c r="H19" s="45">
        <v>779.9</v>
      </c>
      <c r="I19" s="45">
        <f t="shared" si="0"/>
        <v>95.435633871757204</v>
      </c>
      <c r="J19" s="46">
        <v>403.4</v>
      </c>
      <c r="K19" s="55">
        <f t="shared" si="1"/>
        <v>376.5</v>
      </c>
    </row>
    <row r="20" spans="1:11" ht="54" customHeight="1">
      <c r="A20" s="43" t="s">
        <v>47</v>
      </c>
      <c r="B20" s="43"/>
      <c r="C20" s="54" t="s">
        <v>48</v>
      </c>
      <c r="D20" s="45">
        <v>121.5</v>
      </c>
      <c r="E20" s="25"/>
      <c r="F20" s="25"/>
      <c r="G20" s="45">
        <f>121.5+20+20</f>
        <v>161.5</v>
      </c>
      <c r="H20" s="45">
        <v>150.69999999999999</v>
      </c>
      <c r="I20" s="45">
        <f t="shared" si="0"/>
        <v>93.312693498452006</v>
      </c>
      <c r="J20" s="46">
        <v>98</v>
      </c>
      <c r="K20" s="47">
        <f t="shared" si="1"/>
        <v>52.699999999999989</v>
      </c>
    </row>
    <row r="21" spans="1:11" ht="35.25" customHeight="1" thickBot="1">
      <c r="A21" s="48" t="s">
        <v>49</v>
      </c>
      <c r="B21" s="48"/>
      <c r="C21" s="58" t="s">
        <v>50</v>
      </c>
      <c r="D21" s="36">
        <v>626.1</v>
      </c>
      <c r="E21" s="25"/>
      <c r="F21" s="25"/>
      <c r="G21" s="36">
        <f>626.1+270+428.4+400</f>
        <v>1724.5</v>
      </c>
      <c r="H21" s="36">
        <v>1168.7</v>
      </c>
      <c r="I21" s="36">
        <f t="shared" si="0"/>
        <v>67.770368222673241</v>
      </c>
      <c r="J21" s="37">
        <v>349.7</v>
      </c>
      <c r="K21" s="52">
        <f t="shared" si="1"/>
        <v>819</v>
      </c>
    </row>
    <row r="22" spans="1:11" ht="45" customHeight="1" thickBot="1">
      <c r="A22" s="61"/>
      <c r="B22" s="22" t="s">
        <v>51</v>
      </c>
      <c r="C22" s="62" t="s">
        <v>52</v>
      </c>
      <c r="D22" s="63">
        <f>SUM(D23:D25)</f>
        <v>262.60000000000002</v>
      </c>
      <c r="E22" s="25"/>
      <c r="F22" s="64"/>
      <c r="G22" s="63">
        <f>SUM(G23:G26)</f>
        <v>4811.8999999999996</v>
      </c>
      <c r="H22" s="24">
        <f>SUM(H23:H26)</f>
        <v>4806.8999999999996</v>
      </c>
      <c r="I22" s="63">
        <f t="shared" si="0"/>
        <v>99.896090941208257</v>
      </c>
      <c r="J22" s="65">
        <f>SUM(J23:J25)</f>
        <v>305.70000000000005</v>
      </c>
      <c r="K22" s="63">
        <f t="shared" si="1"/>
        <v>4501.2</v>
      </c>
    </row>
    <row r="23" spans="1:11" ht="53.25" customHeight="1">
      <c r="A23" s="66" t="s">
        <v>53</v>
      </c>
      <c r="B23" s="67"/>
      <c r="C23" s="68" t="s">
        <v>54</v>
      </c>
      <c r="D23" s="41">
        <v>184.4</v>
      </c>
      <c r="E23" s="25"/>
      <c r="F23" s="25"/>
      <c r="G23" s="41">
        <f>184.4+9.7</f>
        <v>194.1</v>
      </c>
      <c r="H23" s="41">
        <v>193.8</v>
      </c>
      <c r="I23" s="41">
        <f t="shared" si="0"/>
        <v>99.84544049459042</v>
      </c>
      <c r="J23" s="42">
        <v>235.6</v>
      </c>
      <c r="K23" s="69">
        <f t="shared" si="1"/>
        <v>-41.799999999999983</v>
      </c>
    </row>
    <row r="24" spans="1:11" ht="54" customHeight="1">
      <c r="A24" s="70" t="s">
        <v>55</v>
      </c>
      <c r="B24" s="70"/>
      <c r="C24" s="71" t="s">
        <v>56</v>
      </c>
      <c r="D24" s="50">
        <v>34.200000000000003</v>
      </c>
      <c r="E24" s="25"/>
      <c r="F24" s="25"/>
      <c r="G24" s="50">
        <f>34.2+16.1-2-3.1+28.6</f>
        <v>73.800000000000011</v>
      </c>
      <c r="H24" s="50">
        <v>73.7</v>
      </c>
      <c r="I24" s="50">
        <f t="shared" si="0"/>
        <v>99.86449864498644</v>
      </c>
      <c r="J24" s="51">
        <v>33.5</v>
      </c>
      <c r="K24" s="72">
        <f t="shared" si="1"/>
        <v>40.200000000000003</v>
      </c>
    </row>
    <row r="25" spans="1:11" ht="54" customHeight="1">
      <c r="A25" s="56" t="s">
        <v>57</v>
      </c>
      <c r="B25" s="57"/>
      <c r="C25" s="73" t="s">
        <v>58</v>
      </c>
      <c r="D25" s="45">
        <v>44</v>
      </c>
      <c r="E25" s="74"/>
      <c r="F25" s="74"/>
      <c r="G25" s="45">
        <v>44</v>
      </c>
      <c r="H25" s="45">
        <v>39.4</v>
      </c>
      <c r="I25" s="45">
        <f t="shared" si="0"/>
        <v>89.545454545454533</v>
      </c>
      <c r="J25" s="46">
        <v>36.6</v>
      </c>
      <c r="K25" s="75">
        <f t="shared" si="1"/>
        <v>2.7999999999999972</v>
      </c>
    </row>
    <row r="26" spans="1:11" ht="34.5" customHeight="1" thickBot="1">
      <c r="A26" s="48" t="s">
        <v>49</v>
      </c>
      <c r="B26" s="48"/>
      <c r="C26" s="76" t="s">
        <v>50</v>
      </c>
      <c r="D26" s="36"/>
      <c r="E26" s="25"/>
      <c r="F26" s="25"/>
      <c r="G26" s="36">
        <f>200+400+200+400+100+300+600+100+100+600+100+100+500+300+200+300</f>
        <v>4500</v>
      </c>
      <c r="H26" s="36">
        <v>4500</v>
      </c>
      <c r="I26" s="36">
        <f t="shared" si="0"/>
        <v>100</v>
      </c>
      <c r="J26" s="37"/>
      <c r="K26" s="75">
        <f t="shared" si="1"/>
        <v>4500</v>
      </c>
    </row>
    <row r="27" spans="1:11" ht="45" customHeight="1" thickBot="1">
      <c r="A27" s="22" t="s">
        <v>59</v>
      </c>
      <c r="B27" s="22" t="s">
        <v>60</v>
      </c>
      <c r="C27" s="23" t="s">
        <v>61</v>
      </c>
      <c r="D27" s="24">
        <v>9572</v>
      </c>
      <c r="E27" s="25"/>
      <c r="F27" s="25"/>
      <c r="G27" s="24">
        <f>9572+199-199-110</f>
        <v>9462</v>
      </c>
      <c r="H27" s="24">
        <v>9355</v>
      </c>
      <c r="I27" s="24">
        <f t="shared" si="0"/>
        <v>98.869160853942077</v>
      </c>
      <c r="J27" s="26">
        <v>8388</v>
      </c>
      <c r="K27" s="63">
        <f t="shared" si="1"/>
        <v>967</v>
      </c>
    </row>
    <row r="28" spans="1:11" ht="45" customHeight="1" thickBot="1">
      <c r="A28" s="22"/>
      <c r="B28" s="22" t="s">
        <v>62</v>
      </c>
      <c r="C28" s="23" t="s">
        <v>63</v>
      </c>
      <c r="D28" s="24">
        <f>SUM(D29:D31)</f>
        <v>1522.1</v>
      </c>
      <c r="E28" s="25"/>
      <c r="F28" s="25"/>
      <c r="G28" s="24">
        <f>SUM(G29:G31)</f>
        <v>1134.0999999999999</v>
      </c>
      <c r="H28" s="63">
        <f>SUM(H29:H31)</f>
        <v>993.4</v>
      </c>
      <c r="I28" s="63">
        <f t="shared" si="0"/>
        <v>87.593686623754522</v>
      </c>
      <c r="J28" s="65">
        <f>SUM(J29:J31)</f>
        <v>1240.3</v>
      </c>
      <c r="K28" s="63">
        <f t="shared" si="1"/>
        <v>-246.89999999999998</v>
      </c>
    </row>
    <row r="29" spans="1:11" ht="35.25" customHeight="1">
      <c r="A29" s="77" t="s">
        <v>64</v>
      </c>
      <c r="B29" s="77"/>
      <c r="C29" s="35" t="s">
        <v>65</v>
      </c>
      <c r="D29" s="78">
        <v>381.1</v>
      </c>
      <c r="E29" s="25"/>
      <c r="F29" s="25"/>
      <c r="G29" s="78">
        <f>381.1-250</f>
        <v>131.10000000000002</v>
      </c>
      <c r="H29" s="78">
        <v>130.5</v>
      </c>
      <c r="I29" s="78">
        <f t="shared" si="0"/>
        <v>99.542334096109812</v>
      </c>
      <c r="J29" s="79">
        <v>323.39999999999998</v>
      </c>
      <c r="K29" s="69">
        <f t="shared" si="1"/>
        <v>-192.89999999999998</v>
      </c>
    </row>
    <row r="30" spans="1:11" ht="54" customHeight="1">
      <c r="A30" s="77" t="s">
        <v>66</v>
      </c>
      <c r="B30" s="77"/>
      <c r="C30" s="35" t="s">
        <v>67</v>
      </c>
      <c r="D30" s="45">
        <v>1021</v>
      </c>
      <c r="E30" s="25"/>
      <c r="F30" s="25"/>
      <c r="G30" s="45">
        <f>1021-48-120</f>
        <v>853</v>
      </c>
      <c r="H30" s="80">
        <v>773.3</v>
      </c>
      <c r="I30" s="80">
        <f t="shared" si="0"/>
        <v>90.656506447831177</v>
      </c>
      <c r="J30" s="81">
        <v>890.6</v>
      </c>
      <c r="K30" s="72">
        <f t="shared" si="1"/>
        <v>-117.30000000000007</v>
      </c>
    </row>
    <row r="31" spans="1:11" ht="54" customHeight="1" thickBot="1">
      <c r="A31" s="43" t="s">
        <v>68</v>
      </c>
      <c r="B31" s="43"/>
      <c r="C31" s="54" t="s">
        <v>69</v>
      </c>
      <c r="D31" s="82">
        <v>120</v>
      </c>
      <c r="E31" s="25"/>
      <c r="F31" s="25"/>
      <c r="G31" s="82">
        <f>120+10+20</f>
        <v>150</v>
      </c>
      <c r="H31" s="82">
        <v>89.6</v>
      </c>
      <c r="I31" s="82">
        <f t="shared" si="0"/>
        <v>59.733333333333327</v>
      </c>
      <c r="J31" s="83">
        <v>26.3</v>
      </c>
      <c r="K31" s="84">
        <f t="shared" si="1"/>
        <v>63.3</v>
      </c>
    </row>
    <row r="32" spans="1:11" ht="56.25" customHeight="1" thickBot="1">
      <c r="A32" s="22" t="s">
        <v>70</v>
      </c>
      <c r="B32" s="22" t="s">
        <v>71</v>
      </c>
      <c r="C32" s="23" t="s">
        <v>72</v>
      </c>
      <c r="D32" s="85">
        <v>76</v>
      </c>
      <c r="E32" s="25"/>
      <c r="F32" s="25"/>
      <c r="G32" s="85">
        <f>76+6</f>
        <v>82</v>
      </c>
      <c r="H32" s="85">
        <v>82</v>
      </c>
      <c r="I32" s="85">
        <f t="shared" si="0"/>
        <v>100</v>
      </c>
      <c r="J32" s="86">
        <v>101</v>
      </c>
      <c r="K32" s="63">
        <f t="shared" si="1"/>
        <v>-19</v>
      </c>
    </row>
    <row r="33" spans="1:16" ht="45" customHeight="1" thickBot="1">
      <c r="A33" s="22" t="s">
        <v>73</v>
      </c>
      <c r="B33" s="22" t="s">
        <v>74</v>
      </c>
      <c r="C33" s="23" t="s">
        <v>75</v>
      </c>
      <c r="D33" s="85">
        <v>50</v>
      </c>
      <c r="E33" s="25"/>
      <c r="F33" s="58"/>
      <c r="G33" s="85">
        <f>50+40-40</f>
        <v>50</v>
      </c>
      <c r="H33" s="85">
        <f>48.9+39.9-39.9</f>
        <v>48.9</v>
      </c>
      <c r="I33" s="85">
        <f t="shared" si="0"/>
        <v>97.8</v>
      </c>
      <c r="J33" s="86">
        <v>124.2</v>
      </c>
      <c r="K33" s="63">
        <f t="shared" si="1"/>
        <v>-75.300000000000011</v>
      </c>
    </row>
    <row r="34" spans="1:16" ht="79.5" customHeight="1" thickBot="1">
      <c r="A34" s="22" t="s">
        <v>20</v>
      </c>
      <c r="B34" s="87" t="s">
        <v>76</v>
      </c>
      <c r="C34" s="23" t="s">
        <v>77</v>
      </c>
      <c r="D34" s="85"/>
      <c r="E34" s="25"/>
      <c r="F34" s="60"/>
      <c r="G34" s="85">
        <f>100+21</f>
        <v>121</v>
      </c>
      <c r="H34" s="85">
        <f>116.3</f>
        <v>116.3</v>
      </c>
      <c r="I34" s="85">
        <f t="shared" si="0"/>
        <v>96.115702479338836</v>
      </c>
      <c r="J34" s="86"/>
      <c r="K34" s="63">
        <f t="shared" si="1"/>
        <v>116.3</v>
      </c>
    </row>
    <row r="35" spans="1:16" ht="45" customHeight="1" thickBot="1">
      <c r="A35" s="61" t="s">
        <v>78</v>
      </c>
      <c r="B35" s="87" t="s">
        <v>79</v>
      </c>
      <c r="C35" s="88" t="s">
        <v>80</v>
      </c>
      <c r="D35" s="24">
        <f>SUM(D36:D37)</f>
        <v>22710</v>
      </c>
      <c r="E35" s="25"/>
      <c r="F35" s="25"/>
      <c r="G35" s="24">
        <f>SUM(G36:G38)</f>
        <v>22367.4</v>
      </c>
      <c r="H35" s="24">
        <f>SUM(H36:H38)</f>
        <v>21216</v>
      </c>
      <c r="I35" s="24">
        <f>H35/G35*100</f>
        <v>94.852329729874725</v>
      </c>
      <c r="J35" s="26">
        <f>SUM(J36:J37)</f>
        <v>19809.2</v>
      </c>
      <c r="K35" s="24">
        <f>H35-J35</f>
        <v>1406.7999999999993</v>
      </c>
    </row>
    <row r="36" spans="1:16" ht="35.25" customHeight="1">
      <c r="A36" s="39"/>
      <c r="B36" s="89"/>
      <c r="C36" s="58" t="s">
        <v>81</v>
      </c>
      <c r="D36" s="41">
        <v>22210</v>
      </c>
      <c r="E36" s="25"/>
      <c r="F36" s="25"/>
      <c r="G36" s="41">
        <f>22210+423.9-40+54+190-190-820+3.5+86-90</f>
        <v>21827.4</v>
      </c>
      <c r="H36" s="41">
        <f>12452+8724.1-458.4</f>
        <v>20717.699999999997</v>
      </c>
      <c r="I36" s="78">
        <f t="shared" si="0"/>
        <v>94.916022980290805</v>
      </c>
      <c r="J36" s="79">
        <v>19383.7</v>
      </c>
      <c r="K36" s="38">
        <f t="shared" si="1"/>
        <v>1333.9999999999964</v>
      </c>
    </row>
    <row r="37" spans="1:16" ht="34.5" customHeight="1">
      <c r="A37" s="77" t="s">
        <v>82</v>
      </c>
      <c r="B37" s="77"/>
      <c r="C37" s="35" t="s">
        <v>83</v>
      </c>
      <c r="D37" s="45">
        <v>500</v>
      </c>
      <c r="E37" s="25"/>
      <c r="F37" s="25"/>
      <c r="G37" s="45">
        <v>500</v>
      </c>
      <c r="H37" s="80">
        <v>458.4</v>
      </c>
      <c r="I37" s="80">
        <f t="shared" si="0"/>
        <v>91.679999999999993</v>
      </c>
      <c r="J37" s="81">
        <v>425.5</v>
      </c>
      <c r="K37" s="75">
        <f t="shared" si="1"/>
        <v>32.899999999999977</v>
      </c>
    </row>
    <row r="38" spans="1:16" ht="53.25" customHeight="1">
      <c r="A38" s="77" t="s">
        <v>73</v>
      </c>
      <c r="B38" s="90"/>
      <c r="C38" s="54" t="s">
        <v>84</v>
      </c>
      <c r="D38" s="78"/>
      <c r="E38" s="91"/>
      <c r="F38" s="91"/>
      <c r="G38" s="78">
        <v>40</v>
      </c>
      <c r="H38" s="78">
        <v>39.9</v>
      </c>
      <c r="I38" s="80">
        <f t="shared" si="0"/>
        <v>99.75</v>
      </c>
      <c r="J38" s="79"/>
      <c r="K38" s="75">
        <f t="shared" si="1"/>
        <v>39.9</v>
      </c>
    </row>
    <row r="39" spans="1:16" ht="45" customHeight="1" thickBot="1">
      <c r="A39" s="92" t="s">
        <v>85</v>
      </c>
      <c r="B39" s="92" t="s">
        <v>86</v>
      </c>
      <c r="C39" s="93" t="s">
        <v>87</v>
      </c>
      <c r="D39" s="94">
        <f>D40+D41+D42+D43+D44</f>
        <v>9556.2000000000007</v>
      </c>
      <c r="E39" s="94">
        <f>E40+E41+E42+E43+E44</f>
        <v>0</v>
      </c>
      <c r="F39" s="94">
        <f>F40+F41+F42+F43+F44</f>
        <v>0</v>
      </c>
      <c r="G39" s="94">
        <f>G40+G41+G42+G43+G44</f>
        <v>9858.1</v>
      </c>
      <c r="H39" s="94">
        <f>H40+H41+H42+H43+H44</f>
        <v>9655.6</v>
      </c>
      <c r="I39" s="94">
        <f t="shared" si="0"/>
        <v>97.945851634696339</v>
      </c>
      <c r="J39" s="95">
        <f>SUM(J40:J44)</f>
        <v>8431.7999999999993</v>
      </c>
      <c r="K39" s="94">
        <f t="shared" si="1"/>
        <v>1223.8000000000011</v>
      </c>
      <c r="P39" s="96"/>
    </row>
    <row r="40" spans="1:16" ht="35.25" customHeight="1">
      <c r="A40" s="39" t="s">
        <v>88</v>
      </c>
      <c r="B40" s="39"/>
      <c r="C40" s="97" t="s">
        <v>89</v>
      </c>
      <c r="D40" s="98">
        <v>100</v>
      </c>
      <c r="E40" s="25"/>
      <c r="F40" s="25"/>
      <c r="G40" s="98">
        <v>100</v>
      </c>
      <c r="H40" s="98">
        <v>95.3</v>
      </c>
      <c r="I40" s="98">
        <f t="shared" si="0"/>
        <v>95.3</v>
      </c>
      <c r="J40" s="99">
        <v>49.9</v>
      </c>
      <c r="K40" s="38">
        <f t="shared" si="1"/>
        <v>45.4</v>
      </c>
    </row>
    <row r="41" spans="1:16" ht="35.25" customHeight="1">
      <c r="A41" s="43" t="s">
        <v>90</v>
      </c>
      <c r="B41" s="43"/>
      <c r="C41" s="58" t="s">
        <v>91</v>
      </c>
      <c r="D41" s="100">
        <v>5050</v>
      </c>
      <c r="E41" s="25"/>
      <c r="F41" s="25"/>
      <c r="G41" s="100">
        <f>5050+25.2+215+7</f>
        <v>5297.2</v>
      </c>
      <c r="H41" s="100">
        <v>5179.8999999999996</v>
      </c>
      <c r="I41" s="101">
        <f t="shared" si="0"/>
        <v>97.785622593068027</v>
      </c>
      <c r="J41" s="102">
        <v>4557.3</v>
      </c>
      <c r="K41" s="47">
        <f t="shared" si="1"/>
        <v>622.59999999999945</v>
      </c>
    </row>
    <row r="42" spans="1:16" ht="35.25" customHeight="1">
      <c r="A42" s="43" t="s">
        <v>92</v>
      </c>
      <c r="B42" s="43"/>
      <c r="C42" s="58" t="s">
        <v>93</v>
      </c>
      <c r="D42" s="100">
        <v>3419</v>
      </c>
      <c r="E42" s="25"/>
      <c r="F42" s="25"/>
      <c r="G42" s="100">
        <f>3419+54.7+200</f>
        <v>3673.7</v>
      </c>
      <c r="H42" s="100">
        <v>3596.3</v>
      </c>
      <c r="I42" s="101">
        <f t="shared" si="0"/>
        <v>97.893132264474517</v>
      </c>
      <c r="J42" s="102">
        <v>2959.7</v>
      </c>
      <c r="K42" s="55">
        <f t="shared" si="1"/>
        <v>636.60000000000036</v>
      </c>
    </row>
    <row r="43" spans="1:16" ht="35.25" customHeight="1">
      <c r="A43" s="43" t="s">
        <v>94</v>
      </c>
      <c r="B43" s="43"/>
      <c r="C43" s="58" t="s">
        <v>95</v>
      </c>
      <c r="D43" s="101">
        <v>350</v>
      </c>
      <c r="E43" s="25"/>
      <c r="F43" s="25"/>
      <c r="G43" s="101">
        <f>350+100-50-35-100-60</f>
        <v>205</v>
      </c>
      <c r="H43" s="101">
        <v>201.9</v>
      </c>
      <c r="I43" s="101">
        <f t="shared" si="0"/>
        <v>98.487804878048777</v>
      </c>
      <c r="J43" s="102">
        <v>169.9</v>
      </c>
      <c r="K43" s="47">
        <f t="shared" si="1"/>
        <v>32</v>
      </c>
    </row>
    <row r="44" spans="1:16" ht="35.25" customHeight="1" thickBot="1">
      <c r="A44" s="48" t="s">
        <v>96</v>
      </c>
      <c r="B44" s="48"/>
      <c r="C44" s="103" t="s">
        <v>97</v>
      </c>
      <c r="D44" s="104">
        <v>637.20000000000005</v>
      </c>
      <c r="E44" s="25"/>
      <c r="F44" s="25"/>
      <c r="G44" s="104">
        <f>637.2+25-200+60+60</f>
        <v>582.20000000000005</v>
      </c>
      <c r="H44" s="104">
        <v>582.20000000000005</v>
      </c>
      <c r="I44" s="104">
        <f t="shared" si="0"/>
        <v>100</v>
      </c>
      <c r="J44" s="105">
        <v>695</v>
      </c>
      <c r="K44" s="52">
        <f t="shared" si="1"/>
        <v>-112.79999999999995</v>
      </c>
    </row>
    <row r="45" spans="1:16" ht="45" customHeight="1" thickBot="1">
      <c r="A45" s="21" t="s">
        <v>98</v>
      </c>
      <c r="B45" s="21" t="s">
        <v>99</v>
      </c>
      <c r="C45" s="106" t="s">
        <v>100</v>
      </c>
      <c r="D45" s="107">
        <f>D49+D50+D51+D52+D46+D48+D47</f>
        <v>30968.5</v>
      </c>
      <c r="E45" s="107">
        <f>E49+E50+E51+E52+E46+E48+E47</f>
        <v>306.3</v>
      </c>
      <c r="F45" s="107">
        <f>F49+F50+F51+F52+F46+F48+F47</f>
        <v>302.39999999999998</v>
      </c>
      <c r="G45" s="107">
        <f>G49+G50+G51+G52+G46+G48+G47</f>
        <v>36172.199999999997</v>
      </c>
      <c r="H45" s="107">
        <f>H49+H50+H51+H52+H46+H48+H47</f>
        <v>35951.200000000004</v>
      </c>
      <c r="I45" s="107">
        <f t="shared" si="0"/>
        <v>99.389033567214625</v>
      </c>
      <c r="J45" s="108">
        <f>J46+J49+J50+J51+J52+J47+J48</f>
        <v>29274.2</v>
      </c>
      <c r="K45" s="107">
        <f t="shared" si="1"/>
        <v>6677.0000000000036</v>
      </c>
    </row>
    <row r="46" spans="1:16" s="112" customFormat="1" ht="54.75" customHeight="1" thickBot="1">
      <c r="A46" s="22" t="s">
        <v>101</v>
      </c>
      <c r="B46" s="27" t="s">
        <v>102</v>
      </c>
      <c r="C46" s="28" t="s">
        <v>103</v>
      </c>
      <c r="D46" s="109"/>
      <c r="E46" s="110">
        <f>163.3+99.8</f>
        <v>263.10000000000002</v>
      </c>
      <c r="F46" s="110">
        <v>259.2</v>
      </c>
      <c r="G46" s="109">
        <f>49.9+13</f>
        <v>62.9</v>
      </c>
      <c r="H46" s="109">
        <v>49.9</v>
      </c>
      <c r="I46" s="107">
        <f>H46/G46*100</f>
        <v>79.332273449920507</v>
      </c>
      <c r="J46" s="111">
        <v>259.2</v>
      </c>
      <c r="K46" s="107">
        <f t="shared" si="1"/>
        <v>-209.29999999999998</v>
      </c>
    </row>
    <row r="47" spans="1:16" s="112" customFormat="1" ht="56.25" customHeight="1" thickBot="1">
      <c r="A47" s="22" t="s">
        <v>104</v>
      </c>
      <c r="B47" s="27" t="s">
        <v>105</v>
      </c>
      <c r="C47" s="28" t="s">
        <v>106</v>
      </c>
      <c r="D47" s="109"/>
      <c r="E47" s="110"/>
      <c r="F47" s="110"/>
      <c r="G47" s="109">
        <v>980</v>
      </c>
      <c r="H47" s="109">
        <v>895.5</v>
      </c>
      <c r="I47" s="24">
        <f>H47/G47*100</f>
        <v>91.377551020408163</v>
      </c>
      <c r="J47" s="111">
        <v>43.2</v>
      </c>
      <c r="K47" s="24">
        <f t="shared" si="1"/>
        <v>852.3</v>
      </c>
    </row>
    <row r="48" spans="1:16" s="112" customFormat="1" ht="55.5" customHeight="1" thickBot="1">
      <c r="A48" s="22" t="s">
        <v>107</v>
      </c>
      <c r="B48" s="27" t="s">
        <v>108</v>
      </c>
      <c r="C48" s="28" t="s">
        <v>109</v>
      </c>
      <c r="D48" s="109"/>
      <c r="E48" s="110">
        <v>43.2</v>
      </c>
      <c r="F48" s="110">
        <v>43.2</v>
      </c>
      <c r="G48" s="109">
        <f>969.4+92.3+490+250</f>
        <v>1801.7</v>
      </c>
      <c r="H48" s="109">
        <v>1798.2</v>
      </c>
      <c r="I48" s="107">
        <f>H48/G48*100</f>
        <v>99.805739024254876</v>
      </c>
      <c r="J48" s="111">
        <v>479.9</v>
      </c>
      <c r="K48" s="107">
        <f t="shared" si="1"/>
        <v>1318.3000000000002</v>
      </c>
    </row>
    <row r="49" spans="1:11" ht="54.75" customHeight="1" thickBot="1">
      <c r="A49" s="22" t="s">
        <v>110</v>
      </c>
      <c r="B49" s="27" t="s">
        <v>111</v>
      </c>
      <c r="C49" s="28" t="s">
        <v>112</v>
      </c>
      <c r="D49" s="109">
        <v>350</v>
      </c>
      <c r="E49" s="110"/>
      <c r="F49" s="110"/>
      <c r="G49" s="109">
        <f>350+798.9-1148.9</f>
        <v>0</v>
      </c>
      <c r="H49" s="109">
        <v>0</v>
      </c>
      <c r="I49" s="107">
        <v>0</v>
      </c>
      <c r="J49" s="111">
        <v>122</v>
      </c>
      <c r="K49" s="24">
        <f t="shared" si="1"/>
        <v>-122</v>
      </c>
    </row>
    <row r="50" spans="1:11" ht="79.5" customHeight="1" thickBot="1">
      <c r="A50" s="22" t="s">
        <v>113</v>
      </c>
      <c r="B50" s="27" t="s">
        <v>114</v>
      </c>
      <c r="C50" s="28" t="s">
        <v>115</v>
      </c>
      <c r="D50" s="109">
        <v>150</v>
      </c>
      <c r="E50" s="110"/>
      <c r="F50" s="110"/>
      <c r="G50" s="109">
        <f>150-150</f>
        <v>0</v>
      </c>
      <c r="H50" s="109">
        <v>0</v>
      </c>
      <c r="I50" s="109">
        <v>0</v>
      </c>
      <c r="J50" s="111">
        <v>505.6</v>
      </c>
      <c r="K50" s="24">
        <f t="shared" si="1"/>
        <v>-505.6</v>
      </c>
    </row>
    <row r="51" spans="1:11" ht="45" customHeight="1" thickBot="1">
      <c r="A51" s="22" t="s">
        <v>116</v>
      </c>
      <c r="B51" s="22" t="s">
        <v>117</v>
      </c>
      <c r="C51" s="113" t="s">
        <v>118</v>
      </c>
      <c r="D51" s="114">
        <f>1400+28058.5+150+150</f>
        <v>29758.5</v>
      </c>
      <c r="E51" s="110"/>
      <c r="F51" s="110"/>
      <c r="G51" s="114">
        <f>1400+28058.5+150+150+1996.5+1183-200-606+224+452.2-0.1+294.5</f>
        <v>33102.6</v>
      </c>
      <c r="H51" s="114">
        <v>32983.300000000003</v>
      </c>
      <c r="I51" s="115">
        <f t="shared" si="0"/>
        <v>99.6396053482204</v>
      </c>
      <c r="J51" s="116">
        <v>27035.7</v>
      </c>
      <c r="K51" s="24">
        <f t="shared" si="1"/>
        <v>5947.6000000000022</v>
      </c>
    </row>
    <row r="52" spans="1:11" ht="54" customHeight="1" thickBot="1">
      <c r="A52" s="92" t="s">
        <v>119</v>
      </c>
      <c r="B52" s="117" t="s">
        <v>120</v>
      </c>
      <c r="C52" s="118" t="s">
        <v>121</v>
      </c>
      <c r="D52" s="119">
        <f>110+600</f>
        <v>710</v>
      </c>
      <c r="E52" s="120"/>
      <c r="F52" s="120"/>
      <c r="G52" s="119">
        <f>110+600-485</f>
        <v>225</v>
      </c>
      <c r="H52" s="119">
        <v>224.3</v>
      </c>
      <c r="I52" s="119">
        <f t="shared" si="0"/>
        <v>99.688888888888897</v>
      </c>
      <c r="J52" s="121">
        <v>828.6</v>
      </c>
      <c r="K52" s="94">
        <f t="shared" si="1"/>
        <v>-604.29999999999995</v>
      </c>
    </row>
    <row r="53" spans="1:11" ht="44.25" customHeight="1" thickBot="1">
      <c r="A53" s="22" t="s">
        <v>122</v>
      </c>
      <c r="B53" s="22" t="s">
        <v>123</v>
      </c>
      <c r="C53" s="28" t="s">
        <v>124</v>
      </c>
      <c r="D53" s="63">
        <f>D54</f>
        <v>0</v>
      </c>
      <c r="E53" s="25"/>
      <c r="F53" s="25"/>
      <c r="G53" s="63">
        <f>G54</f>
        <v>42</v>
      </c>
      <c r="H53" s="63">
        <f>H54</f>
        <v>0</v>
      </c>
      <c r="I53" s="63">
        <f t="shared" si="0"/>
        <v>0</v>
      </c>
      <c r="J53" s="65">
        <f>J54</f>
        <v>25</v>
      </c>
      <c r="K53" s="94">
        <f t="shared" si="1"/>
        <v>-25</v>
      </c>
    </row>
    <row r="54" spans="1:11" ht="34.5" customHeight="1" thickBot="1">
      <c r="A54" s="33" t="s">
        <v>125</v>
      </c>
      <c r="B54" s="33"/>
      <c r="C54" s="122" t="s">
        <v>126</v>
      </c>
      <c r="D54" s="123"/>
      <c r="E54" s="25"/>
      <c r="F54" s="25"/>
      <c r="G54" s="123">
        <f>25+17</f>
        <v>42</v>
      </c>
      <c r="H54" s="123">
        <v>0</v>
      </c>
      <c r="I54" s="123">
        <f t="shared" si="0"/>
        <v>0</v>
      </c>
      <c r="J54" s="124">
        <v>25</v>
      </c>
      <c r="K54" s="94">
        <f t="shared" si="1"/>
        <v>-25</v>
      </c>
    </row>
    <row r="55" spans="1:11" ht="45" customHeight="1" thickBot="1">
      <c r="A55" s="22" t="s">
        <v>127</v>
      </c>
      <c r="B55" s="22" t="s">
        <v>128</v>
      </c>
      <c r="C55" s="28" t="s">
        <v>129</v>
      </c>
      <c r="D55" s="24">
        <f>D56+D57</f>
        <v>7000</v>
      </c>
      <c r="E55" s="24">
        <f>E56+E57</f>
        <v>49.9</v>
      </c>
      <c r="F55" s="24">
        <f>F56+F57</f>
        <v>47.9</v>
      </c>
      <c r="G55" s="24">
        <f>G56+G57</f>
        <v>8110.3</v>
      </c>
      <c r="H55" s="24">
        <f>H56+H57</f>
        <v>7520.4</v>
      </c>
      <c r="I55" s="63">
        <f t="shared" si="0"/>
        <v>92.726532927265325</v>
      </c>
      <c r="J55" s="65">
        <f>J56+J57</f>
        <v>5086.2999999999993</v>
      </c>
      <c r="K55" s="63">
        <f t="shared" si="1"/>
        <v>2434.1000000000004</v>
      </c>
    </row>
    <row r="56" spans="1:11" ht="35.25" customHeight="1" thickBot="1">
      <c r="A56" s="33" t="s">
        <v>130</v>
      </c>
      <c r="B56" s="33"/>
      <c r="C56" s="122" t="s">
        <v>131</v>
      </c>
      <c r="D56" s="125">
        <f>4000+3000</f>
        <v>7000</v>
      </c>
      <c r="E56" s="25"/>
      <c r="F56" s="25"/>
      <c r="G56" s="125">
        <f>4000+3000+500+606-100.2-72</f>
        <v>7933.8</v>
      </c>
      <c r="H56" s="125">
        <v>7343.9</v>
      </c>
      <c r="I56" s="98">
        <f t="shared" si="0"/>
        <v>92.564723083516085</v>
      </c>
      <c r="J56" s="99">
        <v>5038.3999999999996</v>
      </c>
      <c r="K56" s="126">
        <f t="shared" si="1"/>
        <v>2305.5</v>
      </c>
    </row>
    <row r="57" spans="1:11" s="5" customFormat="1" ht="34.5" customHeight="1" thickBot="1">
      <c r="A57" s="127" t="s">
        <v>132</v>
      </c>
      <c r="B57" s="127"/>
      <c r="C57" s="128" t="s">
        <v>133</v>
      </c>
      <c r="D57" s="129"/>
      <c r="E57" s="129">
        <v>49.9</v>
      </c>
      <c r="F57" s="129">
        <v>47.9</v>
      </c>
      <c r="G57" s="129">
        <f>450-100-173.5</f>
        <v>176.5</v>
      </c>
      <c r="H57" s="129">
        <v>176.5</v>
      </c>
      <c r="I57" s="98">
        <f t="shared" si="0"/>
        <v>100</v>
      </c>
      <c r="J57" s="99">
        <v>47.9</v>
      </c>
      <c r="K57" s="126">
        <f t="shared" si="1"/>
        <v>128.6</v>
      </c>
    </row>
    <row r="58" spans="1:11" ht="45" customHeight="1" thickBot="1">
      <c r="A58" s="22" t="s">
        <v>134</v>
      </c>
      <c r="B58" s="22" t="s">
        <v>135</v>
      </c>
      <c r="C58" s="23" t="s">
        <v>136</v>
      </c>
      <c r="D58" s="63">
        <f>SUM(D59:D62)</f>
        <v>589.20000000000005</v>
      </c>
      <c r="E58" s="25"/>
      <c r="F58" s="25"/>
      <c r="G58" s="63">
        <f>SUM(G59:G62)</f>
        <v>257.2</v>
      </c>
      <c r="H58" s="63">
        <f>SUM(H59:H62)</f>
        <v>87.2</v>
      </c>
      <c r="I58" s="63">
        <f t="shared" si="0"/>
        <v>33.903576982892695</v>
      </c>
      <c r="J58" s="65">
        <f>SUM(J59:J62)</f>
        <v>311.60000000000002</v>
      </c>
      <c r="K58" s="63">
        <f t="shared" si="1"/>
        <v>-224.40000000000003</v>
      </c>
    </row>
    <row r="59" spans="1:11" ht="34.5" customHeight="1">
      <c r="A59" s="130" t="s">
        <v>137</v>
      </c>
      <c r="B59" s="131"/>
      <c r="C59" s="132" t="s">
        <v>138</v>
      </c>
      <c r="D59" s="133">
        <v>150</v>
      </c>
      <c r="E59" s="25"/>
      <c r="F59" s="25"/>
      <c r="G59" s="133">
        <f>150+150-200</f>
        <v>100</v>
      </c>
      <c r="H59" s="133">
        <v>0</v>
      </c>
      <c r="I59" s="133">
        <f t="shared" si="0"/>
        <v>0</v>
      </c>
      <c r="J59" s="134">
        <v>80</v>
      </c>
      <c r="K59" s="135">
        <f t="shared" si="1"/>
        <v>-80</v>
      </c>
    </row>
    <row r="60" spans="1:11" ht="54" customHeight="1">
      <c r="A60" s="136" t="s">
        <v>139</v>
      </c>
      <c r="B60" s="137"/>
      <c r="C60" s="138" t="s">
        <v>140</v>
      </c>
      <c r="D60" s="133"/>
      <c r="E60" s="25"/>
      <c r="F60" s="25"/>
      <c r="G60" s="133">
        <f>10+8</f>
        <v>18</v>
      </c>
      <c r="H60" s="133">
        <v>0</v>
      </c>
      <c r="I60" s="133">
        <f t="shared" si="0"/>
        <v>0</v>
      </c>
      <c r="J60" s="134"/>
      <c r="K60" s="139">
        <f t="shared" si="1"/>
        <v>0</v>
      </c>
    </row>
    <row r="61" spans="1:11" ht="35.25" customHeight="1">
      <c r="A61" s="140" t="s">
        <v>141</v>
      </c>
      <c r="B61" s="141"/>
      <c r="C61" s="138" t="s">
        <v>142</v>
      </c>
      <c r="D61" s="101">
        <v>110</v>
      </c>
      <c r="E61" s="25"/>
      <c r="F61" s="25"/>
      <c r="G61" s="101">
        <v>110</v>
      </c>
      <c r="H61" s="101">
        <v>74.2</v>
      </c>
      <c r="I61" s="101">
        <f t="shared" si="0"/>
        <v>67.454545454545453</v>
      </c>
      <c r="J61" s="102">
        <v>98.8</v>
      </c>
      <c r="K61" s="72">
        <f t="shared" si="1"/>
        <v>-24.599999999999994</v>
      </c>
    </row>
    <row r="62" spans="1:11" ht="35.25" customHeight="1" thickBot="1">
      <c r="A62" s="48" t="s">
        <v>143</v>
      </c>
      <c r="B62" s="48"/>
      <c r="C62" s="142" t="s">
        <v>144</v>
      </c>
      <c r="D62" s="104">
        <f>29.2+300</f>
        <v>329.2</v>
      </c>
      <c r="E62" s="25"/>
      <c r="F62" s="25"/>
      <c r="G62" s="104">
        <f>29.2+300-100-200</f>
        <v>29.199999999999989</v>
      </c>
      <c r="H62" s="104">
        <v>13</v>
      </c>
      <c r="I62" s="104">
        <f t="shared" si="0"/>
        <v>44.520547945205493</v>
      </c>
      <c r="J62" s="105">
        <v>132.80000000000001</v>
      </c>
      <c r="K62" s="84">
        <f t="shared" si="1"/>
        <v>-119.80000000000001</v>
      </c>
    </row>
    <row r="63" spans="1:11" ht="54.75" customHeight="1" thickBot="1">
      <c r="A63" s="87" t="s">
        <v>145</v>
      </c>
      <c r="B63" s="22" t="s">
        <v>146</v>
      </c>
      <c r="C63" s="28" t="s">
        <v>147</v>
      </c>
      <c r="D63" s="143">
        <f>D64</f>
        <v>131</v>
      </c>
      <c r="E63" s="25"/>
      <c r="F63" s="25"/>
      <c r="G63" s="143">
        <f>G64</f>
        <v>711.8</v>
      </c>
      <c r="H63" s="143">
        <f>H64</f>
        <v>681.2</v>
      </c>
      <c r="I63" s="143">
        <f t="shared" si="0"/>
        <v>95.701039617870194</v>
      </c>
      <c r="J63" s="144">
        <f>J64</f>
        <v>126</v>
      </c>
      <c r="K63" s="143">
        <f t="shared" si="1"/>
        <v>555.20000000000005</v>
      </c>
    </row>
    <row r="64" spans="1:11" ht="34.5" customHeight="1" thickBot="1">
      <c r="A64" s="136" t="s">
        <v>148</v>
      </c>
      <c r="B64" s="137"/>
      <c r="C64" s="145" t="s">
        <v>149</v>
      </c>
      <c r="D64" s="146">
        <v>131</v>
      </c>
      <c r="E64" s="25"/>
      <c r="F64" s="25"/>
      <c r="G64" s="146">
        <f>131+300+40.8+240</f>
        <v>711.8</v>
      </c>
      <c r="H64" s="146">
        <v>681.2</v>
      </c>
      <c r="I64" s="146">
        <f t="shared" si="0"/>
        <v>95.701039617870194</v>
      </c>
      <c r="J64" s="147">
        <v>126</v>
      </c>
      <c r="K64" s="148">
        <f t="shared" si="1"/>
        <v>555.20000000000005</v>
      </c>
    </row>
    <row r="65" spans="1:11" ht="45" customHeight="1" thickBot="1">
      <c r="A65" s="87" t="s">
        <v>150</v>
      </c>
      <c r="B65" s="22" t="s">
        <v>151</v>
      </c>
      <c r="C65" s="28" t="s">
        <v>152</v>
      </c>
      <c r="D65" s="143">
        <f>D66</f>
        <v>70</v>
      </c>
      <c r="E65" s="25"/>
      <c r="F65" s="25"/>
      <c r="G65" s="143">
        <f>G66+G67</f>
        <v>6570</v>
      </c>
      <c r="H65" s="143">
        <f>H66+H67</f>
        <v>6114.3</v>
      </c>
      <c r="I65" s="143">
        <f t="shared" si="0"/>
        <v>93.063926940639277</v>
      </c>
      <c r="J65" s="144">
        <f>J66</f>
        <v>122.7</v>
      </c>
      <c r="K65" s="143">
        <f t="shared" si="1"/>
        <v>5991.6</v>
      </c>
    </row>
    <row r="66" spans="1:11" ht="35.25" customHeight="1" thickBot="1">
      <c r="A66" s="149" t="s">
        <v>153</v>
      </c>
      <c r="B66" s="150"/>
      <c r="C66" s="151" t="s">
        <v>154</v>
      </c>
      <c r="D66" s="152">
        <v>70</v>
      </c>
      <c r="E66" s="25"/>
      <c r="F66" s="25"/>
      <c r="G66" s="152">
        <f>70+130+220+530+650-400+300+180+1000-800</f>
        <v>1880</v>
      </c>
      <c r="H66" s="152">
        <v>1617.2</v>
      </c>
      <c r="I66" s="152">
        <f t="shared" si="0"/>
        <v>86.021276595744681</v>
      </c>
      <c r="J66" s="153">
        <v>122.7</v>
      </c>
      <c r="K66" s="154">
        <f t="shared" si="1"/>
        <v>1494.5</v>
      </c>
    </row>
    <row r="67" spans="1:11" ht="35.25" customHeight="1" thickBot="1">
      <c r="A67" s="155" t="s">
        <v>155</v>
      </c>
      <c r="B67" s="156"/>
      <c r="C67" s="157" t="s">
        <v>156</v>
      </c>
      <c r="D67" s="158"/>
      <c r="E67" s="159"/>
      <c r="F67" s="159"/>
      <c r="G67" s="158">
        <f>770+450+350-300-180+2000-200+1800</f>
        <v>4690</v>
      </c>
      <c r="H67" s="158">
        <v>4497.1000000000004</v>
      </c>
      <c r="I67" s="158">
        <f>H67/G67*100</f>
        <v>95.886993603411526</v>
      </c>
      <c r="J67" s="160"/>
      <c r="K67" s="154">
        <f t="shared" si="1"/>
        <v>4497.1000000000004</v>
      </c>
    </row>
    <row r="68" spans="1:11" ht="45" customHeight="1" thickBot="1">
      <c r="A68" s="161">
        <v>8700</v>
      </c>
      <c r="B68" s="22" t="s">
        <v>157</v>
      </c>
      <c r="C68" s="162" t="s">
        <v>158</v>
      </c>
      <c r="D68" s="143">
        <v>4000</v>
      </c>
      <c r="E68" s="25"/>
      <c r="F68" s="25"/>
      <c r="G68" s="143">
        <f>4000+1000-2000-1550-240-1210</f>
        <v>0</v>
      </c>
      <c r="H68" s="163">
        <v>0</v>
      </c>
      <c r="I68" s="163">
        <v>0</v>
      </c>
      <c r="J68" s="164">
        <v>0</v>
      </c>
      <c r="K68" s="143">
        <f t="shared" si="1"/>
        <v>0</v>
      </c>
    </row>
    <row r="69" spans="1:11" ht="45" customHeight="1" thickBot="1">
      <c r="A69" s="161">
        <v>9000</v>
      </c>
      <c r="B69" s="22" t="s">
        <v>159</v>
      </c>
      <c r="C69" s="88" t="s">
        <v>160</v>
      </c>
      <c r="D69" s="163">
        <f>D71</f>
        <v>0</v>
      </c>
      <c r="E69" s="25"/>
      <c r="F69" s="25"/>
      <c r="G69" s="163">
        <f>G71+G70</f>
        <v>1858.9</v>
      </c>
      <c r="H69" s="143">
        <f>H71+H70</f>
        <v>1812.7</v>
      </c>
      <c r="I69" s="163">
        <f t="shared" si="0"/>
        <v>97.514659207057932</v>
      </c>
      <c r="J69" s="164">
        <f>J71+20.1+1292.6</f>
        <v>2591</v>
      </c>
      <c r="K69" s="143">
        <f t="shared" si="1"/>
        <v>-778.3</v>
      </c>
    </row>
    <row r="70" spans="1:11" ht="35.25" customHeight="1" thickBot="1">
      <c r="A70" s="165">
        <v>9770</v>
      </c>
      <c r="B70" s="166"/>
      <c r="C70" s="167" t="s">
        <v>161</v>
      </c>
      <c r="D70" s="146"/>
      <c r="E70" s="25"/>
      <c r="F70" s="25"/>
      <c r="G70" s="146">
        <v>50</v>
      </c>
      <c r="H70" s="146">
        <v>39</v>
      </c>
      <c r="I70" s="146">
        <f>H70/G70*100</f>
        <v>78</v>
      </c>
      <c r="J70" s="147"/>
      <c r="K70" s="148">
        <f>H70-J70</f>
        <v>39</v>
      </c>
    </row>
    <row r="71" spans="1:11" ht="35.25" customHeight="1" thickBot="1">
      <c r="A71" s="165">
        <v>9800</v>
      </c>
      <c r="B71" s="166"/>
      <c r="C71" s="167" t="s">
        <v>162</v>
      </c>
      <c r="D71" s="146"/>
      <c r="E71" s="25"/>
      <c r="F71" s="25"/>
      <c r="G71" s="146">
        <f>125+49.9+400+49+1035+150</f>
        <v>1808.9</v>
      </c>
      <c r="H71" s="146">
        <v>1773.7</v>
      </c>
      <c r="I71" s="146">
        <f t="shared" si="0"/>
        <v>98.054066006965556</v>
      </c>
      <c r="J71" s="147">
        <v>1278.3</v>
      </c>
      <c r="K71" s="148">
        <f t="shared" ref="K71:K87" si="2">H71-J71</f>
        <v>495.40000000000009</v>
      </c>
    </row>
    <row r="72" spans="1:11" s="174" customFormat="1" ht="45" customHeight="1" thickBot="1">
      <c r="A72" s="168"/>
      <c r="B72" s="169"/>
      <c r="C72" s="170" t="s">
        <v>163</v>
      </c>
      <c r="D72" s="171">
        <f>D5+D6+D7+D9+D13+D35+D39+D45+D53+D55+D58+D63+D65+D68+D69</f>
        <v>423202.22700000001</v>
      </c>
      <c r="E72" s="172"/>
      <c r="F72" s="172"/>
      <c r="G72" s="171">
        <f>G5+G6+G7+G9+G13+G35+G39+G45+G53+G55+G58+G63+G65+G68+G69</f>
        <v>427462.72700000001</v>
      </c>
      <c r="H72" s="171">
        <f>H5+H6+H7+H9+H13+H35+H39+H45+H53+H55+H58+H63+H65+H68+H69</f>
        <v>418484.7</v>
      </c>
      <c r="I72" s="171">
        <f t="shared" si="0"/>
        <v>97.899693602993366</v>
      </c>
      <c r="J72" s="173">
        <f>J5+J6+J7+J9+J13+J35+J39+J45+J53+J55+J58+J63+J65+J68+J69</f>
        <v>381451.19999999995</v>
      </c>
      <c r="K72" s="171">
        <f>H72-J72</f>
        <v>37033.500000000058</v>
      </c>
    </row>
    <row r="73" spans="1:11" s="32" customFormat="1" ht="45" customHeight="1" thickBot="1">
      <c r="A73" s="175"/>
      <c r="B73" s="175"/>
      <c r="C73" s="176" t="s">
        <v>164</v>
      </c>
      <c r="D73" s="177">
        <v>7000</v>
      </c>
      <c r="E73" s="30"/>
      <c r="F73" s="30"/>
      <c r="G73" s="177">
        <f>7000+27581.5-940.8-2783+651+1946-816.1+7495-490-351+6278+1000</f>
        <v>46570.6</v>
      </c>
      <c r="H73" s="177">
        <v>35536.699999999997</v>
      </c>
      <c r="I73" s="177">
        <f t="shared" si="0"/>
        <v>76.307155157975203</v>
      </c>
      <c r="J73" s="178">
        <v>36603.199999999997</v>
      </c>
      <c r="K73" s="69">
        <f>H73-J73</f>
        <v>-1066.5</v>
      </c>
    </row>
    <row r="74" spans="1:11" s="32" customFormat="1" ht="369.75" customHeight="1">
      <c r="A74" s="175" t="s">
        <v>165</v>
      </c>
      <c r="B74" s="175"/>
      <c r="C74" s="179" t="s">
        <v>166</v>
      </c>
      <c r="D74" s="177"/>
      <c r="E74" s="180"/>
      <c r="F74" s="180"/>
      <c r="G74" s="177">
        <v>10081.200000000001</v>
      </c>
      <c r="H74" s="177">
        <v>0</v>
      </c>
      <c r="I74" s="177">
        <f t="shared" si="0"/>
        <v>0</v>
      </c>
      <c r="J74" s="178">
        <v>8343.9</v>
      </c>
      <c r="K74" s="181">
        <f>H74-J74</f>
        <v>-8343.9</v>
      </c>
    </row>
    <row r="75" spans="1:11" s="32" customFormat="1" ht="75.75" customHeight="1">
      <c r="A75" s="34" t="s">
        <v>167</v>
      </c>
      <c r="B75" s="34"/>
      <c r="C75" s="182" t="s">
        <v>168</v>
      </c>
      <c r="D75" s="183"/>
      <c r="E75" s="30"/>
      <c r="F75" s="30"/>
      <c r="G75" s="183">
        <v>4000</v>
      </c>
      <c r="H75" s="183">
        <v>2691.4</v>
      </c>
      <c r="I75" s="183">
        <f t="shared" si="0"/>
        <v>67.285000000000011</v>
      </c>
      <c r="J75" s="184"/>
      <c r="K75" s="185">
        <f t="shared" ref="K75:K80" si="3">H75-J75</f>
        <v>2691.4</v>
      </c>
    </row>
    <row r="76" spans="1:11" s="32" customFormat="1" ht="45" customHeight="1">
      <c r="A76" s="53" t="s">
        <v>169</v>
      </c>
      <c r="B76" s="186"/>
      <c r="C76" s="187" t="s">
        <v>170</v>
      </c>
      <c r="D76" s="188">
        <v>160</v>
      </c>
      <c r="E76" s="189"/>
      <c r="F76" s="189"/>
      <c r="G76" s="188">
        <f>160+43.7</f>
        <v>203.7</v>
      </c>
      <c r="H76" s="188">
        <v>0</v>
      </c>
      <c r="I76" s="188">
        <f t="shared" si="0"/>
        <v>0</v>
      </c>
      <c r="J76" s="190">
        <v>261.39999999999998</v>
      </c>
      <c r="K76" s="188">
        <f t="shared" si="3"/>
        <v>-261.39999999999998</v>
      </c>
    </row>
    <row r="77" spans="1:11" s="32" customFormat="1" ht="54.75" customHeight="1">
      <c r="A77" s="34" t="s">
        <v>171</v>
      </c>
      <c r="B77" s="191"/>
      <c r="C77" s="192" t="s">
        <v>172</v>
      </c>
      <c r="D77" s="188"/>
      <c r="E77" s="189"/>
      <c r="F77" s="189"/>
      <c r="G77" s="188"/>
      <c r="H77" s="188">
        <f>SUM(H78:H79)</f>
        <v>-3</v>
      </c>
      <c r="I77" s="188">
        <v>0</v>
      </c>
      <c r="J77" s="190">
        <f>SUM(J78:J79)</f>
        <v>-2.9</v>
      </c>
      <c r="K77" s="188">
        <f t="shared" si="3"/>
        <v>-0.10000000000000009</v>
      </c>
    </row>
    <row r="78" spans="1:11" s="32" customFormat="1" ht="35.25" customHeight="1">
      <c r="A78" s="193" t="s">
        <v>173</v>
      </c>
      <c r="B78" s="194"/>
      <c r="C78" s="71" t="s">
        <v>174</v>
      </c>
      <c r="D78" s="152">
        <v>3.7</v>
      </c>
      <c r="E78" s="25"/>
      <c r="F78" s="25"/>
      <c r="G78" s="152">
        <v>3.7</v>
      </c>
      <c r="H78" s="152">
        <v>0</v>
      </c>
      <c r="I78" s="152">
        <f>H78/G78*100</f>
        <v>0</v>
      </c>
      <c r="J78" s="153">
        <v>0</v>
      </c>
      <c r="K78" s="195">
        <f t="shared" si="3"/>
        <v>0</v>
      </c>
    </row>
    <row r="79" spans="1:11" s="32" customFormat="1" ht="35.25" customHeight="1" thickBot="1">
      <c r="A79" s="193" t="s">
        <v>175</v>
      </c>
      <c r="B79" s="194"/>
      <c r="C79" s="71" t="s">
        <v>176</v>
      </c>
      <c r="D79" s="196">
        <v>-3.7</v>
      </c>
      <c r="E79" s="25"/>
      <c r="F79" s="25"/>
      <c r="G79" s="196">
        <v>-3.7</v>
      </c>
      <c r="H79" s="196">
        <v>-3</v>
      </c>
      <c r="I79" s="196">
        <f>H79/G79*100</f>
        <v>81.081081081081081</v>
      </c>
      <c r="J79" s="197">
        <v>-2.9</v>
      </c>
      <c r="K79" s="198">
        <f t="shared" si="3"/>
        <v>-0.10000000000000009</v>
      </c>
    </row>
    <row r="80" spans="1:11" s="32" customFormat="1" ht="45" customHeight="1" thickBot="1">
      <c r="A80" s="22"/>
      <c r="B80" s="199"/>
      <c r="C80" s="162" t="s">
        <v>177</v>
      </c>
      <c r="D80" s="114">
        <v>11716.1</v>
      </c>
      <c r="E80" s="30"/>
      <c r="F80" s="30"/>
      <c r="G80" s="114">
        <f>11716.1+431.2+754.3+52.1+2251+83.6+143+143.7+34.2+2394.5+687.3+1410+5391.6</f>
        <v>25492.600000000006</v>
      </c>
      <c r="H80" s="114">
        <v>19216.400000000001</v>
      </c>
      <c r="I80" s="114">
        <f>H80/G80*100</f>
        <v>75.380306441869394</v>
      </c>
      <c r="J80" s="200">
        <v>24628.2</v>
      </c>
      <c r="K80" s="143">
        <f t="shared" si="3"/>
        <v>-5411.7999999999993</v>
      </c>
    </row>
    <row r="81" spans="1:11" s="201" customFormat="1" ht="45" customHeight="1" thickBot="1">
      <c r="A81" s="169"/>
      <c r="B81" s="169"/>
      <c r="C81" s="170" t="s">
        <v>178</v>
      </c>
      <c r="D81" s="171">
        <f>D73+D76+D80+D75</f>
        <v>18876.099999999999</v>
      </c>
      <c r="E81" s="171">
        <f>E73+E76+E80+E75</f>
        <v>0</v>
      </c>
      <c r="F81" s="171">
        <f>F73+F76+F80+F75</f>
        <v>0</v>
      </c>
      <c r="G81" s="171">
        <f>G73+G76+G80+G75+G74</f>
        <v>86348.099999999991</v>
      </c>
      <c r="H81" s="171">
        <f>H73+H76+H80+H75+H77</f>
        <v>57441.5</v>
      </c>
      <c r="I81" s="171">
        <f>H81/G81*100</f>
        <v>66.523177695861293</v>
      </c>
      <c r="J81" s="173">
        <f>J73+J80+J77+J76+J74+160+9497.2</f>
        <v>79490.999999999985</v>
      </c>
      <c r="K81" s="171">
        <f>H81-J81</f>
        <v>-22049.499999999985</v>
      </c>
    </row>
    <row r="82" spans="1:11" s="32" customFormat="1" ht="45" customHeight="1" thickBot="1">
      <c r="A82" s="202"/>
      <c r="B82" s="22"/>
      <c r="C82" s="170" t="s">
        <v>179</v>
      </c>
      <c r="D82" s="171">
        <f>D72+D81</f>
        <v>442078.32699999999</v>
      </c>
      <c r="E82" s="30"/>
      <c r="F82" s="30"/>
      <c r="G82" s="171">
        <f>G72+G81</f>
        <v>513810.82699999999</v>
      </c>
      <c r="H82" s="171">
        <f>H72+H81</f>
        <v>475926.2</v>
      </c>
      <c r="I82" s="171">
        <f>H82/G82*100</f>
        <v>92.626736337729994</v>
      </c>
      <c r="J82" s="173">
        <f>J72+J81</f>
        <v>460942.19999999995</v>
      </c>
      <c r="K82" s="171">
        <f>H82-J82</f>
        <v>14984.000000000058</v>
      </c>
    </row>
    <row r="83" spans="1:11" s="32" customFormat="1" ht="45" customHeight="1">
      <c r="A83" s="203"/>
      <c r="B83" s="204"/>
      <c r="C83" s="205" t="s">
        <v>180</v>
      </c>
      <c r="D83" s="206">
        <f>D84+D85+D87</f>
        <v>45036.1</v>
      </c>
      <c r="E83" s="30">
        <f>E84+E85</f>
        <v>2344.7999999999975</v>
      </c>
      <c r="F83" s="30" t="e">
        <f>F84+F85+#REF!</f>
        <v>#REF!</v>
      </c>
      <c r="G83" s="206">
        <f>G84+G85+G87</f>
        <v>3705.0000000000009</v>
      </c>
      <c r="H83" s="207">
        <f>H84+H85</f>
        <v>44689.700000000004</v>
      </c>
      <c r="I83" s="207"/>
      <c r="J83" s="208"/>
      <c r="K83" s="206"/>
    </row>
    <row r="84" spans="1:11" s="32" customFormat="1" ht="35.25" customHeight="1">
      <c r="A84" s="203"/>
      <c r="B84" s="204"/>
      <c r="C84" s="209" t="s">
        <v>181</v>
      </c>
      <c r="D84" s="210">
        <v>35826</v>
      </c>
      <c r="E84" s="30">
        <f>21365.6-17897.9-486-981.7</f>
        <v>1999.999999999997</v>
      </c>
      <c r="F84" s="30">
        <v>35826</v>
      </c>
      <c r="G84" s="210">
        <f>35826-10424.4-6696.1-14610.5-1095</f>
        <v>3000</v>
      </c>
      <c r="H84" s="211">
        <v>35400.300000000003</v>
      </c>
      <c r="I84" s="212"/>
      <c r="J84" s="213"/>
      <c r="K84" s="214"/>
    </row>
    <row r="85" spans="1:11" s="32" customFormat="1" ht="35.25" customHeight="1">
      <c r="A85" s="203"/>
      <c r="B85" s="204"/>
      <c r="C85" s="209" t="s">
        <v>182</v>
      </c>
      <c r="D85" s="210">
        <v>9210.1</v>
      </c>
      <c r="E85" s="30">
        <f>2655.8+3912.2-2586.5+0.1-843.6-0.2-25.6-0.5-2766.9</f>
        <v>344.80000000000018</v>
      </c>
      <c r="F85" s="30">
        <v>9210.1</v>
      </c>
      <c r="G85" s="210">
        <f>9210.1-4.8-687.6-6274.9-43.7+0.1-0.1-40-30+0.1-0.1-0.1+0.2-192.2-1232</f>
        <v>705.00000000000114</v>
      </c>
      <c r="H85" s="211">
        <f>1117.8+8171.6</f>
        <v>9289.4</v>
      </c>
      <c r="I85" s="212"/>
      <c r="J85" s="213"/>
      <c r="K85" s="214"/>
    </row>
    <row r="86" spans="1:11" s="32" customFormat="1" ht="35.25" customHeight="1" thickBot="1">
      <c r="A86" s="203"/>
      <c r="B86" s="204"/>
      <c r="C86" s="209" t="s">
        <v>183</v>
      </c>
      <c r="D86" s="211"/>
      <c r="E86" s="30"/>
      <c r="F86" s="30"/>
      <c r="G86" s="211"/>
      <c r="H86" s="211">
        <v>46.3</v>
      </c>
      <c r="I86" s="212"/>
      <c r="J86" s="213"/>
      <c r="K86" s="214"/>
    </row>
    <row r="87" spans="1:11" s="32" customFormat="1" ht="45" customHeight="1" thickBot="1">
      <c r="A87" s="22"/>
      <c r="B87" s="199"/>
      <c r="C87" s="28" t="s">
        <v>184</v>
      </c>
      <c r="D87" s="148"/>
      <c r="E87" s="110"/>
      <c r="F87" s="110">
        <v>0</v>
      </c>
      <c r="G87" s="148"/>
      <c r="H87" s="143">
        <v>0</v>
      </c>
      <c r="I87" s="143"/>
      <c r="J87" s="144"/>
      <c r="K87" s="171"/>
    </row>
    <row r="88" spans="1:11" ht="20.25">
      <c r="A88" s="13"/>
      <c r="B88" s="215"/>
      <c r="C88" s="5"/>
      <c r="D88" s="14"/>
      <c r="E88" s="14"/>
      <c r="F88" s="14"/>
      <c r="G88" s="14"/>
      <c r="H88" s="216"/>
      <c r="I88" s="215"/>
      <c r="J88" s="217"/>
      <c r="K88" s="215"/>
    </row>
    <row r="89" spans="1:11" ht="20.25">
      <c r="A89" s="13"/>
      <c r="B89" s="215"/>
      <c r="C89" s="5"/>
      <c r="D89" s="218"/>
      <c r="E89" s="5"/>
      <c r="F89" s="5"/>
      <c r="G89" s="215"/>
      <c r="H89" s="217"/>
      <c r="I89" s="215"/>
      <c r="J89" s="217"/>
      <c r="K89" s="215"/>
    </row>
    <row r="90" spans="1:11" ht="20.25">
      <c r="A90" s="13"/>
      <c r="B90" s="215"/>
      <c r="C90" s="5"/>
      <c r="D90" s="215"/>
      <c r="E90" s="5"/>
      <c r="F90" s="5"/>
      <c r="G90" s="215"/>
      <c r="H90" s="217"/>
      <c r="I90" s="215"/>
      <c r="J90" s="217"/>
      <c r="K90" s="215"/>
    </row>
    <row r="91" spans="1:11" ht="20.25">
      <c r="A91" s="13"/>
      <c r="B91" s="215"/>
      <c r="C91" s="5"/>
      <c r="D91" s="218"/>
      <c r="E91" s="5"/>
      <c r="F91" s="5"/>
      <c r="G91" s="215"/>
      <c r="H91" s="217"/>
      <c r="I91" s="215"/>
      <c r="J91" s="217"/>
      <c r="K91" s="215"/>
    </row>
    <row r="92" spans="1:11">
      <c r="C92" s="219"/>
      <c r="D92" s="8"/>
      <c r="F92" s="219"/>
      <c r="G92" s="220"/>
      <c r="H92" s="219"/>
      <c r="I92" s="220"/>
      <c r="J92" s="219"/>
      <c r="K92" s="8"/>
    </row>
  </sheetData>
  <mergeCells count="9">
    <mergeCell ref="I1:I4"/>
    <mergeCell ref="J1:J4"/>
    <mergeCell ref="K1:K3"/>
    <mergeCell ref="A1:A4"/>
    <mergeCell ref="B1:B4"/>
    <mergeCell ref="C1:C4"/>
    <mergeCell ref="D1:D4"/>
    <mergeCell ref="G1:G4"/>
    <mergeCell ref="H1:H4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Видатки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2023-01-17T10:05:27Z</dcterms:modified>
</cp:coreProperties>
</file>