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идатки" sheetId="1" r:id="rId1"/>
    <sheet name="Лист2" sheetId="2" state="hidden" r:id="rId2"/>
    <sheet name="Лист3" sheetId="3" state="hidden" r:id="rId3"/>
  </sheets>
  <calcPr calcId="125725"/>
</workbook>
</file>

<file path=xl/calcChain.xml><?xml version="1.0" encoding="utf-8"?>
<calcChain xmlns="http://schemas.openxmlformats.org/spreadsheetml/2006/main">
  <c r="H87" i="1"/>
  <c r="D87"/>
  <c r="K86"/>
  <c r="I86"/>
  <c r="G86"/>
  <c r="G87" s="1"/>
  <c r="F86"/>
  <c r="F87" s="1"/>
  <c r="E86"/>
  <c r="K85"/>
  <c r="I85"/>
  <c r="F85"/>
  <c r="K84"/>
  <c r="I84"/>
  <c r="G84"/>
  <c r="F84"/>
  <c r="J83"/>
  <c r="J87" s="1"/>
  <c r="H83"/>
  <c r="K83" s="1"/>
  <c r="K82"/>
  <c r="I82"/>
  <c r="K81"/>
  <c r="E81"/>
  <c r="I81" s="1"/>
  <c r="K80"/>
  <c r="I80"/>
  <c r="H79"/>
  <c r="K79" s="1"/>
  <c r="E79"/>
  <c r="I79" s="1"/>
  <c r="K77"/>
  <c r="I77"/>
  <c r="E77"/>
  <c r="K76"/>
  <c r="I76"/>
  <c r="K75"/>
  <c r="I75"/>
  <c r="K74"/>
  <c r="E74"/>
  <c r="I74" s="1"/>
  <c r="K73"/>
  <c r="I73"/>
  <c r="K72"/>
  <c r="I72"/>
  <c r="J71"/>
  <c r="H71"/>
  <c r="K71" s="1"/>
  <c r="G71"/>
  <c r="F71"/>
  <c r="D71"/>
  <c r="K70"/>
  <c r="I70"/>
  <c r="E70"/>
  <c r="K69"/>
  <c r="E69"/>
  <c r="I69" s="1"/>
  <c r="K68"/>
  <c r="I68"/>
  <c r="E68"/>
  <c r="K67"/>
  <c r="E67"/>
  <c r="I67" s="1"/>
  <c r="J66"/>
  <c r="H66"/>
  <c r="K66" s="1"/>
  <c r="G66"/>
  <c r="F66"/>
  <c r="D66"/>
  <c r="K65"/>
  <c r="I65"/>
  <c r="E65"/>
  <c r="K64"/>
  <c r="J64"/>
  <c r="H64"/>
  <c r="G64"/>
  <c r="F64"/>
  <c r="E64"/>
  <c r="I64" s="1"/>
  <c r="D64"/>
  <c r="K63"/>
  <c r="E63"/>
  <c r="I63" s="1"/>
  <c r="K62"/>
  <c r="I62"/>
  <c r="E62"/>
  <c r="K61"/>
  <c r="E61"/>
  <c r="I61" s="1"/>
  <c r="K60"/>
  <c r="I60"/>
  <c r="E60"/>
  <c r="K59"/>
  <c r="J59"/>
  <c r="H59"/>
  <c r="G59"/>
  <c r="F59"/>
  <c r="E59"/>
  <c r="I59" s="1"/>
  <c r="D59"/>
  <c r="K58"/>
  <c r="E58"/>
  <c r="I58" s="1"/>
  <c r="J57"/>
  <c r="H57"/>
  <c r="K57" s="1"/>
  <c r="G57"/>
  <c r="F57"/>
  <c r="D57"/>
  <c r="K56"/>
  <c r="I56"/>
  <c r="K55"/>
  <c r="I55"/>
  <c r="E55"/>
  <c r="K54"/>
  <c r="J54"/>
  <c r="H54"/>
  <c r="G54"/>
  <c r="F54"/>
  <c r="E54"/>
  <c r="I54" s="1"/>
  <c r="D54"/>
  <c r="K53"/>
  <c r="E53"/>
  <c r="I53" s="1"/>
  <c r="K52"/>
  <c r="I52"/>
  <c r="E52"/>
  <c r="K51"/>
  <c r="J51"/>
  <c r="H51"/>
  <c r="G51"/>
  <c r="F51"/>
  <c r="E51"/>
  <c r="I51" s="1"/>
  <c r="D51"/>
  <c r="K50"/>
  <c r="E50"/>
  <c r="I50" s="1"/>
  <c r="K49"/>
  <c r="I49"/>
  <c r="E49"/>
  <c r="K48"/>
  <c r="I48"/>
  <c r="K47"/>
  <c r="E47"/>
  <c r="I47" s="1"/>
  <c r="K46"/>
  <c r="I46"/>
  <c r="E46"/>
  <c r="K45"/>
  <c r="I45"/>
  <c r="K44"/>
  <c r="J44"/>
  <c r="H44"/>
  <c r="G44"/>
  <c r="F44"/>
  <c r="E44"/>
  <c r="I44" s="1"/>
  <c r="D44"/>
  <c r="K43"/>
  <c r="E43"/>
  <c r="I43" s="1"/>
  <c r="K42"/>
  <c r="I42"/>
  <c r="E42"/>
  <c r="K41"/>
  <c r="I41"/>
  <c r="K40"/>
  <c r="E40"/>
  <c r="I40" s="1"/>
  <c r="K39"/>
  <c r="I39"/>
  <c r="E39"/>
  <c r="K38"/>
  <c r="E38"/>
  <c r="I38" s="1"/>
  <c r="J37"/>
  <c r="H37"/>
  <c r="K37" s="1"/>
  <c r="G37"/>
  <c r="F37"/>
  <c r="F35" s="1"/>
  <c r="F33" s="1"/>
  <c r="D37"/>
  <c r="K36"/>
  <c r="I36"/>
  <c r="E36"/>
  <c r="K35"/>
  <c r="G35"/>
  <c r="G33" s="1"/>
  <c r="E35"/>
  <c r="I35" s="1"/>
  <c r="H34"/>
  <c r="K34" s="1"/>
  <c r="E34"/>
  <c r="I34" s="1"/>
  <c r="J33"/>
  <c r="H33"/>
  <c r="K33" s="1"/>
  <c r="D33"/>
  <c r="K32"/>
  <c r="E32"/>
  <c r="D32"/>
  <c r="K31"/>
  <c r="E31"/>
  <c r="I31" s="1"/>
  <c r="K30"/>
  <c r="I30"/>
  <c r="E30"/>
  <c r="K29"/>
  <c r="E29"/>
  <c r="I29" s="1"/>
  <c r="K28"/>
  <c r="I28"/>
  <c r="E28"/>
  <c r="K27"/>
  <c r="E27"/>
  <c r="I27" s="1"/>
  <c r="K26"/>
  <c r="I26"/>
  <c r="E26"/>
  <c r="K25"/>
  <c r="J25"/>
  <c r="H25"/>
  <c r="G25"/>
  <c r="F25"/>
  <c r="E25"/>
  <c r="I25" s="1"/>
  <c r="D25"/>
  <c r="K24"/>
  <c r="E24"/>
  <c r="I24" s="1"/>
  <c r="K23"/>
  <c r="I23"/>
  <c r="K22"/>
  <c r="I22"/>
  <c r="K21"/>
  <c r="I21"/>
  <c r="E21"/>
  <c r="K20"/>
  <c r="J20"/>
  <c r="H20"/>
  <c r="G20"/>
  <c r="G12" s="1"/>
  <c r="F20"/>
  <c r="E20"/>
  <c r="I20" s="1"/>
  <c r="D20"/>
  <c r="K19"/>
  <c r="E19"/>
  <c r="I19" s="1"/>
  <c r="K18"/>
  <c r="I18"/>
  <c r="E18"/>
  <c r="K17"/>
  <c r="E17"/>
  <c r="I17" s="1"/>
  <c r="K16"/>
  <c r="I16"/>
  <c r="E16"/>
  <c r="K15"/>
  <c r="I15"/>
  <c r="K14"/>
  <c r="E14"/>
  <c r="I14" s="1"/>
  <c r="J13"/>
  <c r="H13"/>
  <c r="K13" s="1"/>
  <c r="G13"/>
  <c r="F13"/>
  <c r="D13"/>
  <c r="J12"/>
  <c r="H12"/>
  <c r="K12" s="1"/>
  <c r="F12"/>
  <c r="D12"/>
  <c r="K11"/>
  <c r="I11"/>
  <c r="E11"/>
  <c r="K10"/>
  <c r="E10"/>
  <c r="I10" s="1"/>
  <c r="K9"/>
  <c r="I9"/>
  <c r="E9"/>
  <c r="K8"/>
  <c r="J8"/>
  <c r="J78" s="1"/>
  <c r="J88" s="1"/>
  <c r="H8"/>
  <c r="G8"/>
  <c r="G78" s="1"/>
  <c r="G88" s="1"/>
  <c r="F8"/>
  <c r="E8"/>
  <c r="I8" s="1"/>
  <c r="D8"/>
  <c r="H7"/>
  <c r="K7" s="1"/>
  <c r="E7"/>
  <c r="H6"/>
  <c r="H78" s="1"/>
  <c r="E6"/>
  <c r="D6"/>
  <c r="D78" s="1"/>
  <c r="D88" s="1"/>
  <c r="H88" l="1"/>
  <c r="K78"/>
  <c r="F78"/>
  <c r="F88" s="1"/>
  <c r="K87"/>
  <c r="I6"/>
  <c r="I7"/>
  <c r="E13"/>
  <c r="E12" s="1"/>
  <c r="I12" s="1"/>
  <c r="E33"/>
  <c r="I33" s="1"/>
  <c r="E37"/>
  <c r="I37" s="1"/>
  <c r="E57"/>
  <c r="I57" s="1"/>
  <c r="E66"/>
  <c r="I66" s="1"/>
  <c r="E71"/>
  <c r="I71" s="1"/>
  <c r="E87"/>
  <c r="I87" s="1"/>
  <c r="K6"/>
  <c r="K88" l="1"/>
  <c r="E78"/>
  <c r="I13"/>
  <c r="E88" l="1"/>
  <c r="I88" s="1"/>
  <c r="I78"/>
</calcChain>
</file>

<file path=xl/sharedStrings.xml><?xml version="1.0" encoding="utf-8"?>
<sst xmlns="http://schemas.openxmlformats.org/spreadsheetml/2006/main" count="193" uniqueCount="191">
  <si>
    <t>Код</t>
  </si>
  <si>
    <t>№   з\п</t>
  </si>
  <si>
    <t>Видатки</t>
  </si>
  <si>
    <t>Затверджено                   на 2023 рік</t>
  </si>
  <si>
    <t>Затверджено           на 2023 рік з урахуванням змін</t>
  </si>
  <si>
    <t>Затверджено                       на 2022 рік зі змінами</t>
  </si>
  <si>
    <t>Виконання</t>
  </si>
  <si>
    <t xml:space="preserve">  %                        виконання</t>
  </si>
  <si>
    <t>Виконання за грудень</t>
  </si>
  <si>
    <t>Відхилення                                до 2022 року</t>
  </si>
  <si>
    <t>до 2020 року</t>
  </si>
  <si>
    <t xml:space="preserve">Відхилення  </t>
  </si>
  <si>
    <t>2022 року</t>
  </si>
  <si>
    <t>0100</t>
  </si>
  <si>
    <t>1.</t>
  </si>
  <si>
    <t>Державне управління</t>
  </si>
  <si>
    <t>0180</t>
  </si>
  <si>
    <t>2.</t>
  </si>
  <si>
    <t>1000</t>
  </si>
  <si>
    <t>3.</t>
  </si>
  <si>
    <t>Освіта</t>
  </si>
  <si>
    <t>2000</t>
  </si>
  <si>
    <t>4.</t>
  </si>
  <si>
    <t>Охорона здоров'я</t>
  </si>
  <si>
    <t>2010</t>
  </si>
  <si>
    <t xml:space="preserve">  - лікарня</t>
  </si>
  <si>
    <t>2100</t>
  </si>
  <si>
    <t xml:space="preserve">  - стоматологія</t>
  </si>
  <si>
    <t>2111</t>
  </si>
  <si>
    <t xml:space="preserve">  - ПМСД</t>
  </si>
  <si>
    <t>3000</t>
  </si>
  <si>
    <t>5.</t>
  </si>
  <si>
    <t>Соціальний захист та соціальне забезпечення</t>
  </si>
  <si>
    <t>5.1</t>
  </si>
  <si>
    <t>Заходи у сфері соціального захисту</t>
  </si>
  <si>
    <t>2152</t>
  </si>
  <si>
    <t xml:space="preserve"> - зубопротезування пільгових категорій населення</t>
  </si>
  <si>
    <t>3032</t>
  </si>
  <si>
    <t xml:space="preserve"> - пільги  окремим категоріям громадян з послуг зв'язку</t>
  </si>
  <si>
    <t>3033</t>
  </si>
  <si>
    <t xml:space="preserve"> - компенсаційні виплати на пільговий проїзд </t>
  </si>
  <si>
    <t>3160</t>
  </si>
  <si>
    <t xml:space="preserve">  -  надання соціальних гарантій фізичним особам, які надають соціальні послуги громадянам, які не здатні до самообслуговування і потребують сторонньої допомоги</t>
  </si>
  <si>
    <t>3180</t>
  </si>
  <si>
    <t xml:space="preserve">  -  надання пільг окремим категоріям населення на оплату житлово-комунальних послуг</t>
  </si>
  <si>
    <t>3242</t>
  </si>
  <si>
    <t xml:space="preserve">  -  інші заходи   (допомога)</t>
  </si>
  <si>
    <t>5.2</t>
  </si>
  <si>
    <t>Пільги соціального захисту</t>
  </si>
  <si>
    <t>3050</t>
  </si>
  <si>
    <t xml:space="preserve">  -пільгове медичне обслуговування осіб, які постраждали внаслідок Чорнобильської катастрофи</t>
  </si>
  <si>
    <t>3090</t>
  </si>
  <si>
    <t xml:space="preserve">  - видатки на поховання учасників бойових дій та осіб з  інвалідністю внаслідок війни</t>
  </si>
  <si>
    <t>3171</t>
  </si>
  <si>
    <t xml:space="preserve">  -компенсаційних виплати особам з інвалідністю на бензин, ремонт, технічне обслуговування автомобілів </t>
  </si>
  <si>
    <t>3104</t>
  </si>
  <si>
    <t>5.3</t>
  </si>
  <si>
    <t xml:space="preserve">Територіальні центри соціального обслуговування  </t>
  </si>
  <si>
    <t>5.4</t>
  </si>
  <si>
    <t>Молодіжні програми</t>
  </si>
  <si>
    <t>3112</t>
  </si>
  <si>
    <t xml:space="preserve">  - заходи державної політики з питань дітей </t>
  </si>
  <si>
    <t>3121</t>
  </si>
  <si>
    <t xml:space="preserve">  - утримання та забезпечення діяльності  центрів соціальних служб для сім"ї, дітей та молоді</t>
  </si>
  <si>
    <t>3124</t>
  </si>
  <si>
    <t xml:space="preserve">  - 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</si>
  <si>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3131</t>
  </si>
  <si>
    <t xml:space="preserve">  - здійснення заходів  цільової соціальної програми «Молодь України»</t>
  </si>
  <si>
    <t>3133</t>
  </si>
  <si>
    <t xml:space="preserve">  - інші заходи та заклади молодіжної політики</t>
  </si>
  <si>
    <t>3192</t>
  </si>
  <si>
    <t>5.5</t>
  </si>
  <si>
    <t xml:space="preserve">Фінансова підтримка громадських  ветеранських організацій  </t>
  </si>
  <si>
    <t>3210</t>
  </si>
  <si>
    <t>5.6</t>
  </si>
  <si>
    <t>Організація та проведеня громадських робіт</t>
  </si>
  <si>
    <t>4000,1080,     3210</t>
  </si>
  <si>
    <t>6.</t>
  </si>
  <si>
    <t>Культура і мистецтво</t>
  </si>
  <si>
    <t xml:space="preserve">  -  культура </t>
  </si>
  <si>
    <t>4082</t>
  </si>
  <si>
    <t xml:space="preserve">  -  інші заходи  в галузі культури </t>
  </si>
  <si>
    <t xml:space="preserve">  - організація та проведеня громадських робіт в закладах культури</t>
  </si>
  <si>
    <t>5000</t>
  </si>
  <si>
    <t>7.</t>
  </si>
  <si>
    <t>Фізична культура і спорт</t>
  </si>
  <si>
    <t>5012</t>
  </si>
  <si>
    <t xml:space="preserve">  -  проведення змагань з неолімпійських видів спорту</t>
  </si>
  <si>
    <t>5031</t>
  </si>
  <si>
    <t xml:space="preserve">  -  ДЮСШ</t>
  </si>
  <si>
    <t>5041</t>
  </si>
  <si>
    <t xml:space="preserve">  -  СОК Шахтар</t>
  </si>
  <si>
    <t>5049</t>
  </si>
  <si>
    <t xml:space="preserve"> -  виконання окремих заходів з реалізації соціального проекту "Активні парки - локації здорової України"</t>
  </si>
  <si>
    <t>5061</t>
  </si>
  <si>
    <t xml:space="preserve">  -  заходи з фізичної культури </t>
  </si>
  <si>
    <t>5062</t>
  </si>
  <si>
    <t xml:space="preserve">  -  підтримка спорту організацій з фізкультурної діяльності</t>
  </si>
  <si>
    <t>6000,3210</t>
  </si>
  <si>
    <t>8.</t>
  </si>
  <si>
    <t>Житлово-комунальне господарство</t>
  </si>
  <si>
    <t>8.1</t>
  </si>
  <si>
    <t>Організація та проведеня громадських робіт ( ВУКГ)</t>
  </si>
  <si>
    <t>6011</t>
  </si>
  <si>
    <t>8.2</t>
  </si>
  <si>
    <t>Експлуатація та технічне обслуговування житлового фонду</t>
  </si>
  <si>
    <t>6013</t>
  </si>
  <si>
    <t>8.3</t>
  </si>
  <si>
    <t>Забезпечення діяльності водопровідно-каналізаційного господарства</t>
  </si>
  <si>
    <t>6020</t>
  </si>
  <si>
    <t>8.4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</si>
  <si>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</si>
  <si>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</si>
  <si>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8.5</t>
  </si>
  <si>
    <t>Організація благоустрою населених пунктів</t>
  </si>
  <si>
    <t>6090</t>
  </si>
  <si>
    <t>8.6</t>
  </si>
  <si>
    <t>Інша діяльність у  житлово-комунальному господарстві</t>
  </si>
  <si>
    <t>7100</t>
  </si>
  <si>
    <t>9.</t>
  </si>
  <si>
    <t>Сільське і лісове господарство</t>
  </si>
  <si>
    <t>7110</t>
  </si>
  <si>
    <t xml:space="preserve"> - реалізація програм в галузі сільського господарства</t>
  </si>
  <si>
    <t>7130</t>
  </si>
  <si>
    <t xml:space="preserve"> - заходи із землеустрою</t>
  </si>
  <si>
    <t>7300</t>
  </si>
  <si>
    <t>10.</t>
  </si>
  <si>
    <t>Будівництво та регіональний розвиток</t>
  </si>
  <si>
    <t>7350</t>
  </si>
  <si>
    <t xml:space="preserve"> - розроблення схем планування та забудови територій (містобудівної документації)</t>
  </si>
  <si>
    <t>7370</t>
  </si>
  <si>
    <t xml:space="preserve"> - реалізація інших заходів щодо соціально-економічного розвитку територій</t>
  </si>
  <si>
    <t>7400</t>
  </si>
  <si>
    <t>11.</t>
  </si>
  <si>
    <t>Транспорт та  дорожнє господарство</t>
  </si>
  <si>
    <t>7461</t>
  </si>
  <si>
    <t xml:space="preserve"> - утримання та розвиток автомобільних доріг</t>
  </si>
  <si>
    <t>7600</t>
  </si>
  <si>
    <t>12.</t>
  </si>
  <si>
    <t>Інші програми, пов'язані з економічною діяльністю</t>
  </si>
  <si>
    <t>7610</t>
  </si>
  <si>
    <t xml:space="preserve"> - сприяння розвитку малого та середнього підприємництва</t>
  </si>
  <si>
    <t>7650</t>
  </si>
  <si>
    <t xml:space="preserve"> -проведення експертної грошової оцінки земельної ділянки чи права на неї</t>
  </si>
  <si>
    <t>7680</t>
  </si>
  <si>
    <t xml:space="preserve"> - членські внески до асоціацій </t>
  </si>
  <si>
    <t>7693</t>
  </si>
  <si>
    <t xml:space="preserve"> - інші заходи, пов'язані з економічною діяльністю</t>
  </si>
  <si>
    <t>8100</t>
  </si>
  <si>
    <t>13.</t>
  </si>
  <si>
    <t xml:space="preserve">Захист  від надзвичайних ситуацій техногенного та природного характеру </t>
  </si>
  <si>
    <t>8110</t>
  </si>
  <si>
    <t xml:space="preserve"> - заходи із запобігання та ліквідації надзвичайних ситуацій </t>
  </si>
  <si>
    <t>8200</t>
  </si>
  <si>
    <t>14.</t>
  </si>
  <si>
    <t>Громадський порядок та безпека</t>
  </si>
  <si>
    <t>8220</t>
  </si>
  <si>
    <t xml:space="preserve"> - заходи та роботи з мобілізаційної підготовки </t>
  </si>
  <si>
    <t>8230</t>
  </si>
  <si>
    <t xml:space="preserve"> - інші заходи громадського порядку та безпеки</t>
  </si>
  <si>
    <t>8240</t>
  </si>
  <si>
    <t xml:space="preserve"> - заходи та роботи з територіальної оборони</t>
  </si>
  <si>
    <t>15.</t>
  </si>
  <si>
    <t>Резервний фонд</t>
  </si>
  <si>
    <t>16.</t>
  </si>
  <si>
    <t>Міжбюджетні трансферти</t>
  </si>
  <si>
    <t xml:space="preserve">  -  субвенція бюджету Володимирської рай.ради</t>
  </si>
  <si>
    <t xml:space="preserve">  -  субвенція Володимирському районному бюджету</t>
  </si>
  <si>
    <t xml:space="preserve">  -  субвенція бюджету Ківерцівської МТГ</t>
  </si>
  <si>
    <t xml:space="preserve">  -  субвенція бюджету  Калинівської СТГ  Херсонської області</t>
  </si>
  <si>
    <t xml:space="preserve">  -  субвенція обласному  бюджету </t>
  </si>
  <si>
    <t xml:space="preserve">  -  субвенція державному бюджету</t>
  </si>
  <si>
    <t>РАЗОМ загальний фонд</t>
  </si>
  <si>
    <t xml:space="preserve">Бюджет розвитку </t>
  </si>
  <si>
    <t>1272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</si>
  <si>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</si>
  <si>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</si>
  <si>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</si>
  <si>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8340</t>
  </si>
  <si>
    <t xml:space="preserve">Природоохоронні заходи </t>
  </si>
  <si>
    <t>8820</t>
  </si>
  <si>
    <t>Пільгові довгострокові кредити молодим сім’ям  на будівництво/придбання житла  та їх повернення</t>
  </si>
  <si>
    <t>8821</t>
  </si>
  <si>
    <t>Надання кредиту</t>
  </si>
  <si>
    <t>8822</t>
  </si>
  <si>
    <t>Повернення кредиту</t>
  </si>
  <si>
    <t>Власні надходження бюджетних установ</t>
  </si>
  <si>
    <t>РАЗОМ спеціальний фонд</t>
  </si>
  <si>
    <t>ВСЬОГО ВИДАТКІВ</t>
  </si>
  <si>
    <t xml:space="preserve"> </t>
  </si>
  <si>
    <t xml:space="preserve">Інша діяльність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</si>
</sst>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1">
    <font>
      <sz val="11"/>
      <color theme="1"/>
      <name val="Calibri"/>
      <family val="2"/>
      <charset val="204"/>
      <scheme val="minor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sz val="14"/>
      <color indexed="8"/>
      <name val="Times New Roman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38"/>
      <name val="Times New Roman"/>
      <family val="1"/>
      <charset val="204"/>
    </font>
    <font>
      <b/>
      <sz val="38"/>
      <color theme="1"/>
      <name val="Times New Roman"/>
      <family val="1"/>
      <charset val="204"/>
    </font>
    <font>
      <sz val="38"/>
      <name val="Times New Roman"/>
      <family val="1"/>
      <charset val="204"/>
    </font>
    <font>
      <sz val="38"/>
      <color indexed="8"/>
      <name val="Times New Roman"/>
      <family val="1"/>
      <charset val="204"/>
    </font>
    <font>
      <sz val="38"/>
      <color theme="1"/>
      <name val="Times New Roman"/>
      <family val="1"/>
      <charset val="204"/>
    </font>
    <font>
      <b/>
      <sz val="38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38"/>
      <name val="Times New Roman"/>
      <family val="1"/>
      <charset val="204"/>
    </font>
    <font>
      <b/>
      <i/>
      <sz val="38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38"/>
      <name val="Times New Roman"/>
      <family val="1"/>
      <charset val="204"/>
    </font>
    <font>
      <b/>
      <sz val="16"/>
      <name val="Times New Roman"/>
      <family val="1"/>
      <charset val="204"/>
    </font>
    <font>
      <sz val="34"/>
      <name val="Arial Cyr"/>
      <charset val="204"/>
    </font>
    <font>
      <sz val="34"/>
      <name val="Times New Roman"/>
      <family val="1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8">
    <xf numFmtId="0" fontId="0" fillId="0" borderId="0" xfId="0"/>
    <xf numFmtId="0" fontId="1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164" fontId="1" fillId="0" borderId="0" xfId="0" applyNumberFormat="1" applyFont="1" applyFill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64" fontId="8" fillId="2" borderId="11" xfId="0" applyNumberFormat="1" applyFont="1" applyFill="1" applyBorder="1" applyAlignment="1">
      <alignment horizontal="center" vertical="center" wrapText="1"/>
    </xf>
    <xf numFmtId="164" fontId="10" fillId="0" borderId="12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64" fontId="10" fillId="0" borderId="14" xfId="0" applyNumberFormat="1" applyFont="1" applyFill="1" applyBorder="1" applyAlignment="1">
      <alignment horizontal="center" vertical="center" wrapText="1"/>
    </xf>
    <xf numFmtId="164" fontId="10" fillId="0" borderId="9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/>
    </xf>
    <xf numFmtId="164" fontId="8" fillId="0" borderId="7" xfId="0" applyNumberFormat="1" applyFont="1" applyFill="1" applyBorder="1" applyAlignment="1">
      <alignment horizontal="center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165" fontId="8" fillId="2" borderId="10" xfId="0" applyNumberFormat="1" applyFont="1" applyFill="1" applyBorder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49" fontId="6" fillId="0" borderId="11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49" fontId="6" fillId="0" borderId="18" xfId="0" applyNumberFormat="1" applyFont="1" applyFill="1" applyBorder="1" applyAlignment="1">
      <alignment horizontal="center" vertical="center"/>
    </xf>
    <xf numFmtId="165" fontId="8" fillId="0" borderId="9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/>
    <xf numFmtId="165" fontId="8" fillId="2" borderId="9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/>
    </xf>
    <xf numFmtId="165" fontId="8" fillId="2" borderId="5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8" fillId="2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center"/>
    </xf>
    <xf numFmtId="165" fontId="11" fillId="2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left" vertical="center" wrapText="1"/>
    </xf>
    <xf numFmtId="165" fontId="6" fillId="2" borderId="2" xfId="0" applyNumberFormat="1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>
      <alignment horizontal="left" vertical="center" wrapText="1"/>
    </xf>
    <xf numFmtId="165" fontId="6" fillId="2" borderId="6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  <xf numFmtId="165" fontId="10" fillId="0" borderId="3" xfId="0" applyNumberFormat="1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165" fontId="10" fillId="0" borderId="6" xfId="0" applyNumberFormat="1" applyFont="1" applyFill="1" applyBorder="1" applyAlignment="1">
      <alignment horizontal="center" vertical="center"/>
    </xf>
    <xf numFmtId="165" fontId="10" fillId="2" borderId="6" xfId="0" applyNumberFormat="1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justify"/>
    </xf>
    <xf numFmtId="165" fontId="8" fillId="0" borderId="9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49" fontId="8" fillId="0" borderId="18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justify"/>
    </xf>
    <xf numFmtId="0" fontId="8" fillId="0" borderId="14" xfId="0" applyFont="1" applyFill="1" applyBorder="1" applyAlignment="1">
      <alignment horizontal="left" vertical="center" wrapText="1"/>
    </xf>
    <xf numFmtId="164" fontId="10" fillId="2" borderId="9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justify"/>
    </xf>
    <xf numFmtId="0" fontId="8" fillId="0" borderId="20" xfId="0" applyFont="1" applyFill="1" applyBorder="1" applyAlignment="1">
      <alignment horizontal="left" vertical="center" wrapText="1"/>
    </xf>
    <xf numFmtId="165" fontId="8" fillId="0" borderId="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 shrinkToFit="1"/>
    </xf>
    <xf numFmtId="165" fontId="8" fillId="0" borderId="6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vertical="center" wrapText="1"/>
    </xf>
    <xf numFmtId="164" fontId="7" fillId="0" borderId="2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164" fontId="10" fillId="0" borderId="9" xfId="0" applyNumberFormat="1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/>
    </xf>
    <xf numFmtId="0" fontId="12" fillId="0" borderId="0" xfId="0" applyFont="1" applyFill="1"/>
    <xf numFmtId="49" fontId="8" fillId="0" borderId="9" xfId="0" applyNumberFormat="1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 wrapText="1" shrinkToFit="1"/>
    </xf>
    <xf numFmtId="164" fontId="8" fillId="0" borderId="9" xfId="0" applyNumberFormat="1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 wrapText="1" shrinkToFit="1"/>
    </xf>
    <xf numFmtId="164" fontId="8" fillId="0" borderId="4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/>
    </xf>
    <xf numFmtId="165" fontId="7" fillId="0" borderId="2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 wrapText="1" shrinkToFit="1"/>
    </xf>
    <xf numFmtId="164" fontId="8" fillId="0" borderId="3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 wrapText="1" shrinkToFit="1"/>
    </xf>
    <xf numFmtId="164" fontId="8" fillId="0" borderId="5" xfId="0" applyNumberFormat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164" fontId="14" fillId="0" borderId="2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14" fillId="0" borderId="2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/>
    </xf>
    <xf numFmtId="164" fontId="7" fillId="0" borderId="6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 wrapText="1"/>
    </xf>
    <xf numFmtId="164" fontId="7" fillId="0" borderId="4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left" vertical="center"/>
    </xf>
    <xf numFmtId="0" fontId="16" fillId="0" borderId="24" xfId="0" applyFont="1" applyFill="1" applyBorder="1" applyAlignment="1">
      <alignment horizontal="left" vertical="center" wrapText="1"/>
    </xf>
    <xf numFmtId="164" fontId="8" fillId="0" borderId="10" xfId="0" applyNumberFormat="1" applyFont="1" applyFill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164" fontId="10" fillId="2" borderId="10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164" fontId="14" fillId="2" borderId="7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7" fillId="2" borderId="25" xfId="0" applyNumberFormat="1" applyFont="1" applyFill="1" applyBorder="1" applyAlignment="1">
      <alignment horizontal="center" vertical="center"/>
    </xf>
    <xf numFmtId="0" fontId="17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0" applyFont="1" applyFill="1"/>
    <xf numFmtId="0" fontId="19" fillId="2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8"/>
  <sheetViews>
    <sheetView tabSelected="1" zoomScale="40" zoomScaleNormal="40" workbookViewId="0">
      <selection activeCell="C7" sqref="C7"/>
    </sheetView>
  </sheetViews>
  <sheetFormatPr defaultRowHeight="18.75"/>
  <cols>
    <col min="1" max="1" width="40.5703125" style="197" customWidth="1"/>
    <col min="2" max="2" width="14.140625" style="198" customWidth="1"/>
    <col min="3" max="3" width="255.85546875" style="199" customWidth="1"/>
    <col min="4" max="4" width="39.28515625" style="198" customWidth="1"/>
    <col min="5" max="5" width="37.5703125" style="200" customWidth="1"/>
    <col min="6" max="6" width="9.140625" style="3" hidden="1" customWidth="1"/>
    <col min="7" max="7" width="10.28515625" style="3" hidden="1" customWidth="1"/>
    <col min="8" max="8" width="38.85546875" style="200" customWidth="1"/>
    <col min="9" max="9" width="31.5703125" style="200" customWidth="1"/>
    <col min="10" max="10" width="37.5703125" style="201" hidden="1" customWidth="1"/>
    <col min="11" max="11" width="34.5703125" style="200" customWidth="1"/>
    <col min="12" max="256" width="9.140625" style="3"/>
    <col min="257" max="257" width="40.5703125" style="3" customWidth="1"/>
    <col min="258" max="258" width="14.140625" style="3" customWidth="1"/>
    <col min="259" max="259" width="255.85546875" style="3" customWidth="1"/>
    <col min="260" max="260" width="39.28515625" style="3" customWidth="1"/>
    <col min="261" max="261" width="37.5703125" style="3" customWidth="1"/>
    <col min="262" max="263" width="0" style="3" hidden="1" customWidth="1"/>
    <col min="264" max="264" width="38.85546875" style="3" customWidth="1"/>
    <col min="265" max="265" width="31.5703125" style="3" customWidth="1"/>
    <col min="266" max="266" width="0" style="3" hidden="1" customWidth="1"/>
    <col min="267" max="267" width="34.5703125" style="3" customWidth="1"/>
    <col min="268" max="512" width="9.140625" style="3"/>
    <col min="513" max="513" width="40.5703125" style="3" customWidth="1"/>
    <col min="514" max="514" width="14.140625" style="3" customWidth="1"/>
    <col min="515" max="515" width="255.85546875" style="3" customWidth="1"/>
    <col min="516" max="516" width="39.28515625" style="3" customWidth="1"/>
    <col min="517" max="517" width="37.5703125" style="3" customWidth="1"/>
    <col min="518" max="519" width="0" style="3" hidden="1" customWidth="1"/>
    <col min="520" max="520" width="38.85546875" style="3" customWidth="1"/>
    <col min="521" max="521" width="31.5703125" style="3" customWidth="1"/>
    <col min="522" max="522" width="0" style="3" hidden="1" customWidth="1"/>
    <col min="523" max="523" width="34.5703125" style="3" customWidth="1"/>
    <col min="524" max="768" width="9.140625" style="3"/>
    <col min="769" max="769" width="40.5703125" style="3" customWidth="1"/>
    <col min="770" max="770" width="14.140625" style="3" customWidth="1"/>
    <col min="771" max="771" width="255.85546875" style="3" customWidth="1"/>
    <col min="772" max="772" width="39.28515625" style="3" customWidth="1"/>
    <col min="773" max="773" width="37.5703125" style="3" customWidth="1"/>
    <col min="774" max="775" width="0" style="3" hidden="1" customWidth="1"/>
    <col min="776" max="776" width="38.85546875" style="3" customWidth="1"/>
    <col min="777" max="777" width="31.5703125" style="3" customWidth="1"/>
    <col min="778" max="778" width="0" style="3" hidden="1" customWidth="1"/>
    <col min="779" max="779" width="34.5703125" style="3" customWidth="1"/>
    <col min="780" max="1024" width="9.140625" style="3"/>
    <col min="1025" max="1025" width="40.5703125" style="3" customWidth="1"/>
    <col min="1026" max="1026" width="14.140625" style="3" customWidth="1"/>
    <col min="1027" max="1027" width="255.85546875" style="3" customWidth="1"/>
    <col min="1028" max="1028" width="39.28515625" style="3" customWidth="1"/>
    <col min="1029" max="1029" width="37.5703125" style="3" customWidth="1"/>
    <col min="1030" max="1031" width="0" style="3" hidden="1" customWidth="1"/>
    <col min="1032" max="1032" width="38.85546875" style="3" customWidth="1"/>
    <col min="1033" max="1033" width="31.5703125" style="3" customWidth="1"/>
    <col min="1034" max="1034" width="0" style="3" hidden="1" customWidth="1"/>
    <col min="1035" max="1035" width="34.5703125" style="3" customWidth="1"/>
    <col min="1036" max="1280" width="9.140625" style="3"/>
    <col min="1281" max="1281" width="40.5703125" style="3" customWidth="1"/>
    <col min="1282" max="1282" width="14.140625" style="3" customWidth="1"/>
    <col min="1283" max="1283" width="255.85546875" style="3" customWidth="1"/>
    <col min="1284" max="1284" width="39.28515625" style="3" customWidth="1"/>
    <col min="1285" max="1285" width="37.5703125" style="3" customWidth="1"/>
    <col min="1286" max="1287" width="0" style="3" hidden="1" customWidth="1"/>
    <col min="1288" max="1288" width="38.85546875" style="3" customWidth="1"/>
    <col min="1289" max="1289" width="31.5703125" style="3" customWidth="1"/>
    <col min="1290" max="1290" width="0" style="3" hidden="1" customWidth="1"/>
    <col min="1291" max="1291" width="34.5703125" style="3" customWidth="1"/>
    <col min="1292" max="1536" width="9.140625" style="3"/>
    <col min="1537" max="1537" width="40.5703125" style="3" customWidth="1"/>
    <col min="1538" max="1538" width="14.140625" style="3" customWidth="1"/>
    <col min="1539" max="1539" width="255.85546875" style="3" customWidth="1"/>
    <col min="1540" max="1540" width="39.28515625" style="3" customWidth="1"/>
    <col min="1541" max="1541" width="37.5703125" style="3" customWidth="1"/>
    <col min="1542" max="1543" width="0" style="3" hidden="1" customWidth="1"/>
    <col min="1544" max="1544" width="38.85546875" style="3" customWidth="1"/>
    <col min="1545" max="1545" width="31.5703125" style="3" customWidth="1"/>
    <col min="1546" max="1546" width="0" style="3" hidden="1" customWidth="1"/>
    <col min="1547" max="1547" width="34.5703125" style="3" customWidth="1"/>
    <col min="1548" max="1792" width="9.140625" style="3"/>
    <col min="1793" max="1793" width="40.5703125" style="3" customWidth="1"/>
    <col min="1794" max="1794" width="14.140625" style="3" customWidth="1"/>
    <col min="1795" max="1795" width="255.85546875" style="3" customWidth="1"/>
    <col min="1796" max="1796" width="39.28515625" style="3" customWidth="1"/>
    <col min="1797" max="1797" width="37.5703125" style="3" customWidth="1"/>
    <col min="1798" max="1799" width="0" style="3" hidden="1" customWidth="1"/>
    <col min="1800" max="1800" width="38.85546875" style="3" customWidth="1"/>
    <col min="1801" max="1801" width="31.5703125" style="3" customWidth="1"/>
    <col min="1802" max="1802" width="0" style="3" hidden="1" customWidth="1"/>
    <col min="1803" max="1803" width="34.5703125" style="3" customWidth="1"/>
    <col min="1804" max="2048" width="9.140625" style="3"/>
    <col min="2049" max="2049" width="40.5703125" style="3" customWidth="1"/>
    <col min="2050" max="2050" width="14.140625" style="3" customWidth="1"/>
    <col min="2051" max="2051" width="255.85546875" style="3" customWidth="1"/>
    <col min="2052" max="2052" width="39.28515625" style="3" customWidth="1"/>
    <col min="2053" max="2053" width="37.5703125" style="3" customWidth="1"/>
    <col min="2054" max="2055" width="0" style="3" hidden="1" customWidth="1"/>
    <col min="2056" max="2056" width="38.85546875" style="3" customWidth="1"/>
    <col min="2057" max="2057" width="31.5703125" style="3" customWidth="1"/>
    <col min="2058" max="2058" width="0" style="3" hidden="1" customWidth="1"/>
    <col min="2059" max="2059" width="34.5703125" style="3" customWidth="1"/>
    <col min="2060" max="2304" width="9.140625" style="3"/>
    <col min="2305" max="2305" width="40.5703125" style="3" customWidth="1"/>
    <col min="2306" max="2306" width="14.140625" style="3" customWidth="1"/>
    <col min="2307" max="2307" width="255.85546875" style="3" customWidth="1"/>
    <col min="2308" max="2308" width="39.28515625" style="3" customWidth="1"/>
    <col min="2309" max="2309" width="37.5703125" style="3" customWidth="1"/>
    <col min="2310" max="2311" width="0" style="3" hidden="1" customWidth="1"/>
    <col min="2312" max="2312" width="38.85546875" style="3" customWidth="1"/>
    <col min="2313" max="2313" width="31.5703125" style="3" customWidth="1"/>
    <col min="2314" max="2314" width="0" style="3" hidden="1" customWidth="1"/>
    <col min="2315" max="2315" width="34.5703125" style="3" customWidth="1"/>
    <col min="2316" max="2560" width="9.140625" style="3"/>
    <col min="2561" max="2561" width="40.5703125" style="3" customWidth="1"/>
    <col min="2562" max="2562" width="14.140625" style="3" customWidth="1"/>
    <col min="2563" max="2563" width="255.85546875" style="3" customWidth="1"/>
    <col min="2564" max="2564" width="39.28515625" style="3" customWidth="1"/>
    <col min="2565" max="2565" width="37.5703125" style="3" customWidth="1"/>
    <col min="2566" max="2567" width="0" style="3" hidden="1" customWidth="1"/>
    <col min="2568" max="2568" width="38.85546875" style="3" customWidth="1"/>
    <col min="2569" max="2569" width="31.5703125" style="3" customWidth="1"/>
    <col min="2570" max="2570" width="0" style="3" hidden="1" customWidth="1"/>
    <col min="2571" max="2571" width="34.5703125" style="3" customWidth="1"/>
    <col min="2572" max="2816" width="9.140625" style="3"/>
    <col min="2817" max="2817" width="40.5703125" style="3" customWidth="1"/>
    <col min="2818" max="2818" width="14.140625" style="3" customWidth="1"/>
    <col min="2819" max="2819" width="255.85546875" style="3" customWidth="1"/>
    <col min="2820" max="2820" width="39.28515625" style="3" customWidth="1"/>
    <col min="2821" max="2821" width="37.5703125" style="3" customWidth="1"/>
    <col min="2822" max="2823" width="0" style="3" hidden="1" customWidth="1"/>
    <col min="2824" max="2824" width="38.85546875" style="3" customWidth="1"/>
    <col min="2825" max="2825" width="31.5703125" style="3" customWidth="1"/>
    <col min="2826" max="2826" width="0" style="3" hidden="1" customWidth="1"/>
    <col min="2827" max="2827" width="34.5703125" style="3" customWidth="1"/>
    <col min="2828" max="3072" width="9.140625" style="3"/>
    <col min="3073" max="3073" width="40.5703125" style="3" customWidth="1"/>
    <col min="3074" max="3074" width="14.140625" style="3" customWidth="1"/>
    <col min="3075" max="3075" width="255.85546875" style="3" customWidth="1"/>
    <col min="3076" max="3076" width="39.28515625" style="3" customWidth="1"/>
    <col min="3077" max="3077" width="37.5703125" style="3" customWidth="1"/>
    <col min="3078" max="3079" width="0" style="3" hidden="1" customWidth="1"/>
    <col min="3080" max="3080" width="38.85546875" style="3" customWidth="1"/>
    <col min="3081" max="3081" width="31.5703125" style="3" customWidth="1"/>
    <col min="3082" max="3082" width="0" style="3" hidden="1" customWidth="1"/>
    <col min="3083" max="3083" width="34.5703125" style="3" customWidth="1"/>
    <col min="3084" max="3328" width="9.140625" style="3"/>
    <col min="3329" max="3329" width="40.5703125" style="3" customWidth="1"/>
    <col min="3330" max="3330" width="14.140625" style="3" customWidth="1"/>
    <col min="3331" max="3331" width="255.85546875" style="3" customWidth="1"/>
    <col min="3332" max="3332" width="39.28515625" style="3" customWidth="1"/>
    <col min="3333" max="3333" width="37.5703125" style="3" customWidth="1"/>
    <col min="3334" max="3335" width="0" style="3" hidden="1" customWidth="1"/>
    <col min="3336" max="3336" width="38.85546875" style="3" customWidth="1"/>
    <col min="3337" max="3337" width="31.5703125" style="3" customWidth="1"/>
    <col min="3338" max="3338" width="0" style="3" hidden="1" customWidth="1"/>
    <col min="3339" max="3339" width="34.5703125" style="3" customWidth="1"/>
    <col min="3340" max="3584" width="9.140625" style="3"/>
    <col min="3585" max="3585" width="40.5703125" style="3" customWidth="1"/>
    <col min="3586" max="3586" width="14.140625" style="3" customWidth="1"/>
    <col min="3587" max="3587" width="255.85546875" style="3" customWidth="1"/>
    <col min="3588" max="3588" width="39.28515625" style="3" customWidth="1"/>
    <col min="3589" max="3589" width="37.5703125" style="3" customWidth="1"/>
    <col min="3590" max="3591" width="0" style="3" hidden="1" customWidth="1"/>
    <col min="3592" max="3592" width="38.85546875" style="3" customWidth="1"/>
    <col min="3593" max="3593" width="31.5703125" style="3" customWidth="1"/>
    <col min="3594" max="3594" width="0" style="3" hidden="1" customWidth="1"/>
    <col min="3595" max="3595" width="34.5703125" style="3" customWidth="1"/>
    <col min="3596" max="3840" width="9.140625" style="3"/>
    <col min="3841" max="3841" width="40.5703125" style="3" customWidth="1"/>
    <col min="3842" max="3842" width="14.140625" style="3" customWidth="1"/>
    <col min="3843" max="3843" width="255.85546875" style="3" customWidth="1"/>
    <col min="3844" max="3844" width="39.28515625" style="3" customWidth="1"/>
    <col min="3845" max="3845" width="37.5703125" style="3" customWidth="1"/>
    <col min="3846" max="3847" width="0" style="3" hidden="1" customWidth="1"/>
    <col min="3848" max="3848" width="38.85546875" style="3" customWidth="1"/>
    <col min="3849" max="3849" width="31.5703125" style="3" customWidth="1"/>
    <col min="3850" max="3850" width="0" style="3" hidden="1" customWidth="1"/>
    <col min="3851" max="3851" width="34.5703125" style="3" customWidth="1"/>
    <col min="3852" max="4096" width="9.140625" style="3"/>
    <col min="4097" max="4097" width="40.5703125" style="3" customWidth="1"/>
    <col min="4098" max="4098" width="14.140625" style="3" customWidth="1"/>
    <col min="4099" max="4099" width="255.85546875" style="3" customWidth="1"/>
    <col min="4100" max="4100" width="39.28515625" style="3" customWidth="1"/>
    <col min="4101" max="4101" width="37.5703125" style="3" customWidth="1"/>
    <col min="4102" max="4103" width="0" style="3" hidden="1" customWidth="1"/>
    <col min="4104" max="4104" width="38.85546875" style="3" customWidth="1"/>
    <col min="4105" max="4105" width="31.5703125" style="3" customWidth="1"/>
    <col min="4106" max="4106" width="0" style="3" hidden="1" customWidth="1"/>
    <col min="4107" max="4107" width="34.5703125" style="3" customWidth="1"/>
    <col min="4108" max="4352" width="9.140625" style="3"/>
    <col min="4353" max="4353" width="40.5703125" style="3" customWidth="1"/>
    <col min="4354" max="4354" width="14.140625" style="3" customWidth="1"/>
    <col min="4355" max="4355" width="255.85546875" style="3" customWidth="1"/>
    <col min="4356" max="4356" width="39.28515625" style="3" customWidth="1"/>
    <col min="4357" max="4357" width="37.5703125" style="3" customWidth="1"/>
    <col min="4358" max="4359" width="0" style="3" hidden="1" customWidth="1"/>
    <col min="4360" max="4360" width="38.85546875" style="3" customWidth="1"/>
    <col min="4361" max="4361" width="31.5703125" style="3" customWidth="1"/>
    <col min="4362" max="4362" width="0" style="3" hidden="1" customWidth="1"/>
    <col min="4363" max="4363" width="34.5703125" style="3" customWidth="1"/>
    <col min="4364" max="4608" width="9.140625" style="3"/>
    <col min="4609" max="4609" width="40.5703125" style="3" customWidth="1"/>
    <col min="4610" max="4610" width="14.140625" style="3" customWidth="1"/>
    <col min="4611" max="4611" width="255.85546875" style="3" customWidth="1"/>
    <col min="4612" max="4612" width="39.28515625" style="3" customWidth="1"/>
    <col min="4613" max="4613" width="37.5703125" style="3" customWidth="1"/>
    <col min="4614" max="4615" width="0" style="3" hidden="1" customWidth="1"/>
    <col min="4616" max="4616" width="38.85546875" style="3" customWidth="1"/>
    <col min="4617" max="4617" width="31.5703125" style="3" customWidth="1"/>
    <col min="4618" max="4618" width="0" style="3" hidden="1" customWidth="1"/>
    <col min="4619" max="4619" width="34.5703125" style="3" customWidth="1"/>
    <col min="4620" max="4864" width="9.140625" style="3"/>
    <col min="4865" max="4865" width="40.5703125" style="3" customWidth="1"/>
    <col min="4866" max="4866" width="14.140625" style="3" customWidth="1"/>
    <col min="4867" max="4867" width="255.85546875" style="3" customWidth="1"/>
    <col min="4868" max="4868" width="39.28515625" style="3" customWidth="1"/>
    <col min="4869" max="4869" width="37.5703125" style="3" customWidth="1"/>
    <col min="4870" max="4871" width="0" style="3" hidden="1" customWidth="1"/>
    <col min="4872" max="4872" width="38.85546875" style="3" customWidth="1"/>
    <col min="4873" max="4873" width="31.5703125" style="3" customWidth="1"/>
    <col min="4874" max="4874" width="0" style="3" hidden="1" customWidth="1"/>
    <col min="4875" max="4875" width="34.5703125" style="3" customWidth="1"/>
    <col min="4876" max="5120" width="9.140625" style="3"/>
    <col min="5121" max="5121" width="40.5703125" style="3" customWidth="1"/>
    <col min="5122" max="5122" width="14.140625" style="3" customWidth="1"/>
    <col min="5123" max="5123" width="255.85546875" style="3" customWidth="1"/>
    <col min="5124" max="5124" width="39.28515625" style="3" customWidth="1"/>
    <col min="5125" max="5125" width="37.5703125" style="3" customWidth="1"/>
    <col min="5126" max="5127" width="0" style="3" hidden="1" customWidth="1"/>
    <col min="5128" max="5128" width="38.85546875" style="3" customWidth="1"/>
    <col min="5129" max="5129" width="31.5703125" style="3" customWidth="1"/>
    <col min="5130" max="5130" width="0" style="3" hidden="1" customWidth="1"/>
    <col min="5131" max="5131" width="34.5703125" style="3" customWidth="1"/>
    <col min="5132" max="5376" width="9.140625" style="3"/>
    <col min="5377" max="5377" width="40.5703125" style="3" customWidth="1"/>
    <col min="5378" max="5378" width="14.140625" style="3" customWidth="1"/>
    <col min="5379" max="5379" width="255.85546875" style="3" customWidth="1"/>
    <col min="5380" max="5380" width="39.28515625" style="3" customWidth="1"/>
    <col min="5381" max="5381" width="37.5703125" style="3" customWidth="1"/>
    <col min="5382" max="5383" width="0" style="3" hidden="1" customWidth="1"/>
    <col min="5384" max="5384" width="38.85546875" style="3" customWidth="1"/>
    <col min="5385" max="5385" width="31.5703125" style="3" customWidth="1"/>
    <col min="5386" max="5386" width="0" style="3" hidden="1" customWidth="1"/>
    <col min="5387" max="5387" width="34.5703125" style="3" customWidth="1"/>
    <col min="5388" max="5632" width="9.140625" style="3"/>
    <col min="5633" max="5633" width="40.5703125" style="3" customWidth="1"/>
    <col min="5634" max="5634" width="14.140625" style="3" customWidth="1"/>
    <col min="5635" max="5635" width="255.85546875" style="3" customWidth="1"/>
    <col min="5636" max="5636" width="39.28515625" style="3" customWidth="1"/>
    <col min="5637" max="5637" width="37.5703125" style="3" customWidth="1"/>
    <col min="5638" max="5639" width="0" style="3" hidden="1" customWidth="1"/>
    <col min="5640" max="5640" width="38.85546875" style="3" customWidth="1"/>
    <col min="5641" max="5641" width="31.5703125" style="3" customWidth="1"/>
    <col min="5642" max="5642" width="0" style="3" hidden="1" customWidth="1"/>
    <col min="5643" max="5643" width="34.5703125" style="3" customWidth="1"/>
    <col min="5644" max="5888" width="9.140625" style="3"/>
    <col min="5889" max="5889" width="40.5703125" style="3" customWidth="1"/>
    <col min="5890" max="5890" width="14.140625" style="3" customWidth="1"/>
    <col min="5891" max="5891" width="255.85546875" style="3" customWidth="1"/>
    <col min="5892" max="5892" width="39.28515625" style="3" customWidth="1"/>
    <col min="5893" max="5893" width="37.5703125" style="3" customWidth="1"/>
    <col min="5894" max="5895" width="0" style="3" hidden="1" customWidth="1"/>
    <col min="5896" max="5896" width="38.85546875" style="3" customWidth="1"/>
    <col min="5897" max="5897" width="31.5703125" style="3" customWidth="1"/>
    <col min="5898" max="5898" width="0" style="3" hidden="1" customWidth="1"/>
    <col min="5899" max="5899" width="34.5703125" style="3" customWidth="1"/>
    <col min="5900" max="6144" width="9.140625" style="3"/>
    <col min="6145" max="6145" width="40.5703125" style="3" customWidth="1"/>
    <col min="6146" max="6146" width="14.140625" style="3" customWidth="1"/>
    <col min="6147" max="6147" width="255.85546875" style="3" customWidth="1"/>
    <col min="6148" max="6148" width="39.28515625" style="3" customWidth="1"/>
    <col min="6149" max="6149" width="37.5703125" style="3" customWidth="1"/>
    <col min="6150" max="6151" width="0" style="3" hidden="1" customWidth="1"/>
    <col min="6152" max="6152" width="38.85546875" style="3" customWidth="1"/>
    <col min="6153" max="6153" width="31.5703125" style="3" customWidth="1"/>
    <col min="6154" max="6154" width="0" style="3" hidden="1" customWidth="1"/>
    <col min="6155" max="6155" width="34.5703125" style="3" customWidth="1"/>
    <col min="6156" max="6400" width="9.140625" style="3"/>
    <col min="6401" max="6401" width="40.5703125" style="3" customWidth="1"/>
    <col min="6402" max="6402" width="14.140625" style="3" customWidth="1"/>
    <col min="6403" max="6403" width="255.85546875" style="3" customWidth="1"/>
    <col min="6404" max="6404" width="39.28515625" style="3" customWidth="1"/>
    <col min="6405" max="6405" width="37.5703125" style="3" customWidth="1"/>
    <col min="6406" max="6407" width="0" style="3" hidden="1" customWidth="1"/>
    <col min="6408" max="6408" width="38.85546875" style="3" customWidth="1"/>
    <col min="6409" max="6409" width="31.5703125" style="3" customWidth="1"/>
    <col min="6410" max="6410" width="0" style="3" hidden="1" customWidth="1"/>
    <col min="6411" max="6411" width="34.5703125" style="3" customWidth="1"/>
    <col min="6412" max="6656" width="9.140625" style="3"/>
    <col min="6657" max="6657" width="40.5703125" style="3" customWidth="1"/>
    <col min="6658" max="6658" width="14.140625" style="3" customWidth="1"/>
    <col min="6659" max="6659" width="255.85546875" style="3" customWidth="1"/>
    <col min="6660" max="6660" width="39.28515625" style="3" customWidth="1"/>
    <col min="6661" max="6661" width="37.5703125" style="3" customWidth="1"/>
    <col min="6662" max="6663" width="0" style="3" hidden="1" customWidth="1"/>
    <col min="6664" max="6664" width="38.85546875" style="3" customWidth="1"/>
    <col min="6665" max="6665" width="31.5703125" style="3" customWidth="1"/>
    <col min="6666" max="6666" width="0" style="3" hidden="1" customWidth="1"/>
    <col min="6667" max="6667" width="34.5703125" style="3" customWidth="1"/>
    <col min="6668" max="6912" width="9.140625" style="3"/>
    <col min="6913" max="6913" width="40.5703125" style="3" customWidth="1"/>
    <col min="6914" max="6914" width="14.140625" style="3" customWidth="1"/>
    <col min="6915" max="6915" width="255.85546875" style="3" customWidth="1"/>
    <col min="6916" max="6916" width="39.28515625" style="3" customWidth="1"/>
    <col min="6917" max="6917" width="37.5703125" style="3" customWidth="1"/>
    <col min="6918" max="6919" width="0" style="3" hidden="1" customWidth="1"/>
    <col min="6920" max="6920" width="38.85546875" style="3" customWidth="1"/>
    <col min="6921" max="6921" width="31.5703125" style="3" customWidth="1"/>
    <col min="6922" max="6922" width="0" style="3" hidden="1" customWidth="1"/>
    <col min="6923" max="6923" width="34.5703125" style="3" customWidth="1"/>
    <col min="6924" max="7168" width="9.140625" style="3"/>
    <col min="7169" max="7169" width="40.5703125" style="3" customWidth="1"/>
    <col min="7170" max="7170" width="14.140625" style="3" customWidth="1"/>
    <col min="7171" max="7171" width="255.85546875" style="3" customWidth="1"/>
    <col min="7172" max="7172" width="39.28515625" style="3" customWidth="1"/>
    <col min="7173" max="7173" width="37.5703125" style="3" customWidth="1"/>
    <col min="7174" max="7175" width="0" style="3" hidden="1" customWidth="1"/>
    <col min="7176" max="7176" width="38.85546875" style="3" customWidth="1"/>
    <col min="7177" max="7177" width="31.5703125" style="3" customWidth="1"/>
    <col min="7178" max="7178" width="0" style="3" hidden="1" customWidth="1"/>
    <col min="7179" max="7179" width="34.5703125" style="3" customWidth="1"/>
    <col min="7180" max="7424" width="9.140625" style="3"/>
    <col min="7425" max="7425" width="40.5703125" style="3" customWidth="1"/>
    <col min="7426" max="7426" width="14.140625" style="3" customWidth="1"/>
    <col min="7427" max="7427" width="255.85546875" style="3" customWidth="1"/>
    <col min="7428" max="7428" width="39.28515625" style="3" customWidth="1"/>
    <col min="7429" max="7429" width="37.5703125" style="3" customWidth="1"/>
    <col min="7430" max="7431" width="0" style="3" hidden="1" customWidth="1"/>
    <col min="7432" max="7432" width="38.85546875" style="3" customWidth="1"/>
    <col min="7433" max="7433" width="31.5703125" style="3" customWidth="1"/>
    <col min="7434" max="7434" width="0" style="3" hidden="1" customWidth="1"/>
    <col min="7435" max="7435" width="34.5703125" style="3" customWidth="1"/>
    <col min="7436" max="7680" width="9.140625" style="3"/>
    <col min="7681" max="7681" width="40.5703125" style="3" customWidth="1"/>
    <col min="7682" max="7682" width="14.140625" style="3" customWidth="1"/>
    <col min="7683" max="7683" width="255.85546875" style="3" customWidth="1"/>
    <col min="7684" max="7684" width="39.28515625" style="3" customWidth="1"/>
    <col min="7685" max="7685" width="37.5703125" style="3" customWidth="1"/>
    <col min="7686" max="7687" width="0" style="3" hidden="1" customWidth="1"/>
    <col min="7688" max="7688" width="38.85546875" style="3" customWidth="1"/>
    <col min="7689" max="7689" width="31.5703125" style="3" customWidth="1"/>
    <col min="7690" max="7690" width="0" style="3" hidden="1" customWidth="1"/>
    <col min="7691" max="7691" width="34.5703125" style="3" customWidth="1"/>
    <col min="7692" max="7936" width="9.140625" style="3"/>
    <col min="7937" max="7937" width="40.5703125" style="3" customWidth="1"/>
    <col min="7938" max="7938" width="14.140625" style="3" customWidth="1"/>
    <col min="7939" max="7939" width="255.85546875" style="3" customWidth="1"/>
    <col min="7940" max="7940" width="39.28515625" style="3" customWidth="1"/>
    <col min="7941" max="7941" width="37.5703125" style="3" customWidth="1"/>
    <col min="7942" max="7943" width="0" style="3" hidden="1" customWidth="1"/>
    <col min="7944" max="7944" width="38.85546875" style="3" customWidth="1"/>
    <col min="7945" max="7945" width="31.5703125" style="3" customWidth="1"/>
    <col min="7946" max="7946" width="0" style="3" hidden="1" customWidth="1"/>
    <col min="7947" max="7947" width="34.5703125" style="3" customWidth="1"/>
    <col min="7948" max="8192" width="9.140625" style="3"/>
    <col min="8193" max="8193" width="40.5703125" style="3" customWidth="1"/>
    <col min="8194" max="8194" width="14.140625" style="3" customWidth="1"/>
    <col min="8195" max="8195" width="255.85546875" style="3" customWidth="1"/>
    <col min="8196" max="8196" width="39.28515625" style="3" customWidth="1"/>
    <col min="8197" max="8197" width="37.5703125" style="3" customWidth="1"/>
    <col min="8198" max="8199" width="0" style="3" hidden="1" customWidth="1"/>
    <col min="8200" max="8200" width="38.85546875" style="3" customWidth="1"/>
    <col min="8201" max="8201" width="31.5703125" style="3" customWidth="1"/>
    <col min="8202" max="8202" width="0" style="3" hidden="1" customWidth="1"/>
    <col min="8203" max="8203" width="34.5703125" style="3" customWidth="1"/>
    <col min="8204" max="8448" width="9.140625" style="3"/>
    <col min="8449" max="8449" width="40.5703125" style="3" customWidth="1"/>
    <col min="8450" max="8450" width="14.140625" style="3" customWidth="1"/>
    <col min="8451" max="8451" width="255.85546875" style="3" customWidth="1"/>
    <col min="8452" max="8452" width="39.28515625" style="3" customWidth="1"/>
    <col min="8453" max="8453" width="37.5703125" style="3" customWidth="1"/>
    <col min="8454" max="8455" width="0" style="3" hidden="1" customWidth="1"/>
    <col min="8456" max="8456" width="38.85546875" style="3" customWidth="1"/>
    <col min="8457" max="8457" width="31.5703125" style="3" customWidth="1"/>
    <col min="8458" max="8458" width="0" style="3" hidden="1" customWidth="1"/>
    <col min="8459" max="8459" width="34.5703125" style="3" customWidth="1"/>
    <col min="8460" max="8704" width="9.140625" style="3"/>
    <col min="8705" max="8705" width="40.5703125" style="3" customWidth="1"/>
    <col min="8706" max="8706" width="14.140625" style="3" customWidth="1"/>
    <col min="8707" max="8707" width="255.85546875" style="3" customWidth="1"/>
    <col min="8708" max="8708" width="39.28515625" style="3" customWidth="1"/>
    <col min="8709" max="8709" width="37.5703125" style="3" customWidth="1"/>
    <col min="8710" max="8711" width="0" style="3" hidden="1" customWidth="1"/>
    <col min="8712" max="8712" width="38.85546875" style="3" customWidth="1"/>
    <col min="8713" max="8713" width="31.5703125" style="3" customWidth="1"/>
    <col min="8714" max="8714" width="0" style="3" hidden="1" customWidth="1"/>
    <col min="8715" max="8715" width="34.5703125" style="3" customWidth="1"/>
    <col min="8716" max="8960" width="9.140625" style="3"/>
    <col min="8961" max="8961" width="40.5703125" style="3" customWidth="1"/>
    <col min="8962" max="8962" width="14.140625" style="3" customWidth="1"/>
    <col min="8963" max="8963" width="255.85546875" style="3" customWidth="1"/>
    <col min="8964" max="8964" width="39.28515625" style="3" customWidth="1"/>
    <col min="8965" max="8965" width="37.5703125" style="3" customWidth="1"/>
    <col min="8966" max="8967" width="0" style="3" hidden="1" customWidth="1"/>
    <col min="8968" max="8968" width="38.85546875" style="3" customWidth="1"/>
    <col min="8969" max="8969" width="31.5703125" style="3" customWidth="1"/>
    <col min="8970" max="8970" width="0" style="3" hidden="1" customWidth="1"/>
    <col min="8971" max="8971" width="34.5703125" style="3" customWidth="1"/>
    <col min="8972" max="9216" width="9.140625" style="3"/>
    <col min="9217" max="9217" width="40.5703125" style="3" customWidth="1"/>
    <col min="9218" max="9218" width="14.140625" style="3" customWidth="1"/>
    <col min="9219" max="9219" width="255.85546875" style="3" customWidth="1"/>
    <col min="9220" max="9220" width="39.28515625" style="3" customWidth="1"/>
    <col min="9221" max="9221" width="37.5703125" style="3" customWidth="1"/>
    <col min="9222" max="9223" width="0" style="3" hidden="1" customWidth="1"/>
    <col min="9224" max="9224" width="38.85546875" style="3" customWidth="1"/>
    <col min="9225" max="9225" width="31.5703125" style="3" customWidth="1"/>
    <col min="9226" max="9226" width="0" style="3" hidden="1" customWidth="1"/>
    <col min="9227" max="9227" width="34.5703125" style="3" customWidth="1"/>
    <col min="9228" max="9472" width="9.140625" style="3"/>
    <col min="9473" max="9473" width="40.5703125" style="3" customWidth="1"/>
    <col min="9474" max="9474" width="14.140625" style="3" customWidth="1"/>
    <col min="9475" max="9475" width="255.85546875" style="3" customWidth="1"/>
    <col min="9476" max="9476" width="39.28515625" style="3" customWidth="1"/>
    <col min="9477" max="9477" width="37.5703125" style="3" customWidth="1"/>
    <col min="9478" max="9479" width="0" style="3" hidden="1" customWidth="1"/>
    <col min="9480" max="9480" width="38.85546875" style="3" customWidth="1"/>
    <col min="9481" max="9481" width="31.5703125" style="3" customWidth="1"/>
    <col min="9482" max="9482" width="0" style="3" hidden="1" customWidth="1"/>
    <col min="9483" max="9483" width="34.5703125" style="3" customWidth="1"/>
    <col min="9484" max="9728" width="9.140625" style="3"/>
    <col min="9729" max="9729" width="40.5703125" style="3" customWidth="1"/>
    <col min="9730" max="9730" width="14.140625" style="3" customWidth="1"/>
    <col min="9731" max="9731" width="255.85546875" style="3" customWidth="1"/>
    <col min="9732" max="9732" width="39.28515625" style="3" customWidth="1"/>
    <col min="9733" max="9733" width="37.5703125" style="3" customWidth="1"/>
    <col min="9734" max="9735" width="0" style="3" hidden="1" customWidth="1"/>
    <col min="9736" max="9736" width="38.85546875" style="3" customWidth="1"/>
    <col min="9737" max="9737" width="31.5703125" style="3" customWidth="1"/>
    <col min="9738" max="9738" width="0" style="3" hidden="1" customWidth="1"/>
    <col min="9739" max="9739" width="34.5703125" style="3" customWidth="1"/>
    <col min="9740" max="9984" width="9.140625" style="3"/>
    <col min="9985" max="9985" width="40.5703125" style="3" customWidth="1"/>
    <col min="9986" max="9986" width="14.140625" style="3" customWidth="1"/>
    <col min="9987" max="9987" width="255.85546875" style="3" customWidth="1"/>
    <col min="9988" max="9988" width="39.28515625" style="3" customWidth="1"/>
    <col min="9989" max="9989" width="37.5703125" style="3" customWidth="1"/>
    <col min="9990" max="9991" width="0" style="3" hidden="1" customWidth="1"/>
    <col min="9992" max="9992" width="38.85546875" style="3" customWidth="1"/>
    <col min="9993" max="9993" width="31.5703125" style="3" customWidth="1"/>
    <col min="9994" max="9994" width="0" style="3" hidden="1" customWidth="1"/>
    <col min="9995" max="9995" width="34.5703125" style="3" customWidth="1"/>
    <col min="9996" max="10240" width="9.140625" style="3"/>
    <col min="10241" max="10241" width="40.5703125" style="3" customWidth="1"/>
    <col min="10242" max="10242" width="14.140625" style="3" customWidth="1"/>
    <col min="10243" max="10243" width="255.85546875" style="3" customWidth="1"/>
    <col min="10244" max="10244" width="39.28515625" style="3" customWidth="1"/>
    <col min="10245" max="10245" width="37.5703125" style="3" customWidth="1"/>
    <col min="10246" max="10247" width="0" style="3" hidden="1" customWidth="1"/>
    <col min="10248" max="10248" width="38.85546875" style="3" customWidth="1"/>
    <col min="10249" max="10249" width="31.5703125" style="3" customWidth="1"/>
    <col min="10250" max="10250" width="0" style="3" hidden="1" customWidth="1"/>
    <col min="10251" max="10251" width="34.5703125" style="3" customWidth="1"/>
    <col min="10252" max="10496" width="9.140625" style="3"/>
    <col min="10497" max="10497" width="40.5703125" style="3" customWidth="1"/>
    <col min="10498" max="10498" width="14.140625" style="3" customWidth="1"/>
    <col min="10499" max="10499" width="255.85546875" style="3" customWidth="1"/>
    <col min="10500" max="10500" width="39.28515625" style="3" customWidth="1"/>
    <col min="10501" max="10501" width="37.5703125" style="3" customWidth="1"/>
    <col min="10502" max="10503" width="0" style="3" hidden="1" customWidth="1"/>
    <col min="10504" max="10504" width="38.85546875" style="3" customWidth="1"/>
    <col min="10505" max="10505" width="31.5703125" style="3" customWidth="1"/>
    <col min="10506" max="10506" width="0" style="3" hidden="1" customWidth="1"/>
    <col min="10507" max="10507" width="34.5703125" style="3" customWidth="1"/>
    <col min="10508" max="10752" width="9.140625" style="3"/>
    <col min="10753" max="10753" width="40.5703125" style="3" customWidth="1"/>
    <col min="10754" max="10754" width="14.140625" style="3" customWidth="1"/>
    <col min="10755" max="10755" width="255.85546875" style="3" customWidth="1"/>
    <col min="10756" max="10756" width="39.28515625" style="3" customWidth="1"/>
    <col min="10757" max="10757" width="37.5703125" style="3" customWidth="1"/>
    <col min="10758" max="10759" width="0" style="3" hidden="1" customWidth="1"/>
    <col min="10760" max="10760" width="38.85546875" style="3" customWidth="1"/>
    <col min="10761" max="10761" width="31.5703125" style="3" customWidth="1"/>
    <col min="10762" max="10762" width="0" style="3" hidden="1" customWidth="1"/>
    <col min="10763" max="10763" width="34.5703125" style="3" customWidth="1"/>
    <col min="10764" max="11008" width="9.140625" style="3"/>
    <col min="11009" max="11009" width="40.5703125" style="3" customWidth="1"/>
    <col min="11010" max="11010" width="14.140625" style="3" customWidth="1"/>
    <col min="11011" max="11011" width="255.85546875" style="3" customWidth="1"/>
    <col min="11012" max="11012" width="39.28515625" style="3" customWidth="1"/>
    <col min="11013" max="11013" width="37.5703125" style="3" customWidth="1"/>
    <col min="11014" max="11015" width="0" style="3" hidden="1" customWidth="1"/>
    <col min="11016" max="11016" width="38.85546875" style="3" customWidth="1"/>
    <col min="11017" max="11017" width="31.5703125" style="3" customWidth="1"/>
    <col min="11018" max="11018" width="0" style="3" hidden="1" customWidth="1"/>
    <col min="11019" max="11019" width="34.5703125" style="3" customWidth="1"/>
    <col min="11020" max="11264" width="9.140625" style="3"/>
    <col min="11265" max="11265" width="40.5703125" style="3" customWidth="1"/>
    <col min="11266" max="11266" width="14.140625" style="3" customWidth="1"/>
    <col min="11267" max="11267" width="255.85546875" style="3" customWidth="1"/>
    <col min="11268" max="11268" width="39.28515625" style="3" customWidth="1"/>
    <col min="11269" max="11269" width="37.5703125" style="3" customWidth="1"/>
    <col min="11270" max="11271" width="0" style="3" hidden="1" customWidth="1"/>
    <col min="11272" max="11272" width="38.85546875" style="3" customWidth="1"/>
    <col min="11273" max="11273" width="31.5703125" style="3" customWidth="1"/>
    <col min="11274" max="11274" width="0" style="3" hidden="1" customWidth="1"/>
    <col min="11275" max="11275" width="34.5703125" style="3" customWidth="1"/>
    <col min="11276" max="11520" width="9.140625" style="3"/>
    <col min="11521" max="11521" width="40.5703125" style="3" customWidth="1"/>
    <col min="11522" max="11522" width="14.140625" style="3" customWidth="1"/>
    <col min="11523" max="11523" width="255.85546875" style="3" customWidth="1"/>
    <col min="11524" max="11524" width="39.28515625" style="3" customWidth="1"/>
    <col min="11525" max="11525" width="37.5703125" style="3" customWidth="1"/>
    <col min="11526" max="11527" width="0" style="3" hidden="1" customWidth="1"/>
    <col min="11528" max="11528" width="38.85546875" style="3" customWidth="1"/>
    <col min="11529" max="11529" width="31.5703125" style="3" customWidth="1"/>
    <col min="11530" max="11530" width="0" style="3" hidden="1" customWidth="1"/>
    <col min="11531" max="11531" width="34.5703125" style="3" customWidth="1"/>
    <col min="11532" max="11776" width="9.140625" style="3"/>
    <col min="11777" max="11777" width="40.5703125" style="3" customWidth="1"/>
    <col min="11778" max="11778" width="14.140625" style="3" customWidth="1"/>
    <col min="11779" max="11779" width="255.85546875" style="3" customWidth="1"/>
    <col min="11780" max="11780" width="39.28515625" style="3" customWidth="1"/>
    <col min="11781" max="11781" width="37.5703125" style="3" customWidth="1"/>
    <col min="11782" max="11783" width="0" style="3" hidden="1" customWidth="1"/>
    <col min="11784" max="11784" width="38.85546875" style="3" customWidth="1"/>
    <col min="11785" max="11785" width="31.5703125" style="3" customWidth="1"/>
    <col min="11786" max="11786" width="0" style="3" hidden="1" customWidth="1"/>
    <col min="11787" max="11787" width="34.5703125" style="3" customWidth="1"/>
    <col min="11788" max="12032" width="9.140625" style="3"/>
    <col min="12033" max="12033" width="40.5703125" style="3" customWidth="1"/>
    <col min="12034" max="12034" width="14.140625" style="3" customWidth="1"/>
    <col min="12035" max="12035" width="255.85546875" style="3" customWidth="1"/>
    <col min="12036" max="12036" width="39.28515625" style="3" customWidth="1"/>
    <col min="12037" max="12037" width="37.5703125" style="3" customWidth="1"/>
    <col min="12038" max="12039" width="0" style="3" hidden="1" customWidth="1"/>
    <col min="12040" max="12040" width="38.85546875" style="3" customWidth="1"/>
    <col min="12041" max="12041" width="31.5703125" style="3" customWidth="1"/>
    <col min="12042" max="12042" width="0" style="3" hidden="1" customWidth="1"/>
    <col min="12043" max="12043" width="34.5703125" style="3" customWidth="1"/>
    <col min="12044" max="12288" width="9.140625" style="3"/>
    <col min="12289" max="12289" width="40.5703125" style="3" customWidth="1"/>
    <col min="12290" max="12290" width="14.140625" style="3" customWidth="1"/>
    <col min="12291" max="12291" width="255.85546875" style="3" customWidth="1"/>
    <col min="12292" max="12292" width="39.28515625" style="3" customWidth="1"/>
    <col min="12293" max="12293" width="37.5703125" style="3" customWidth="1"/>
    <col min="12294" max="12295" width="0" style="3" hidden="1" customWidth="1"/>
    <col min="12296" max="12296" width="38.85546875" style="3" customWidth="1"/>
    <col min="12297" max="12297" width="31.5703125" style="3" customWidth="1"/>
    <col min="12298" max="12298" width="0" style="3" hidden="1" customWidth="1"/>
    <col min="12299" max="12299" width="34.5703125" style="3" customWidth="1"/>
    <col min="12300" max="12544" width="9.140625" style="3"/>
    <col min="12545" max="12545" width="40.5703125" style="3" customWidth="1"/>
    <col min="12546" max="12546" width="14.140625" style="3" customWidth="1"/>
    <col min="12547" max="12547" width="255.85546875" style="3" customWidth="1"/>
    <col min="12548" max="12548" width="39.28515625" style="3" customWidth="1"/>
    <col min="12549" max="12549" width="37.5703125" style="3" customWidth="1"/>
    <col min="12550" max="12551" width="0" style="3" hidden="1" customWidth="1"/>
    <col min="12552" max="12552" width="38.85546875" style="3" customWidth="1"/>
    <col min="12553" max="12553" width="31.5703125" style="3" customWidth="1"/>
    <col min="12554" max="12554" width="0" style="3" hidden="1" customWidth="1"/>
    <col min="12555" max="12555" width="34.5703125" style="3" customWidth="1"/>
    <col min="12556" max="12800" width="9.140625" style="3"/>
    <col min="12801" max="12801" width="40.5703125" style="3" customWidth="1"/>
    <col min="12802" max="12802" width="14.140625" style="3" customWidth="1"/>
    <col min="12803" max="12803" width="255.85546875" style="3" customWidth="1"/>
    <col min="12804" max="12804" width="39.28515625" style="3" customWidth="1"/>
    <col min="12805" max="12805" width="37.5703125" style="3" customWidth="1"/>
    <col min="12806" max="12807" width="0" style="3" hidden="1" customWidth="1"/>
    <col min="12808" max="12808" width="38.85546875" style="3" customWidth="1"/>
    <col min="12809" max="12809" width="31.5703125" style="3" customWidth="1"/>
    <col min="12810" max="12810" width="0" style="3" hidden="1" customWidth="1"/>
    <col min="12811" max="12811" width="34.5703125" style="3" customWidth="1"/>
    <col min="12812" max="13056" width="9.140625" style="3"/>
    <col min="13057" max="13057" width="40.5703125" style="3" customWidth="1"/>
    <col min="13058" max="13058" width="14.140625" style="3" customWidth="1"/>
    <col min="13059" max="13059" width="255.85546875" style="3" customWidth="1"/>
    <col min="13060" max="13060" width="39.28515625" style="3" customWidth="1"/>
    <col min="13061" max="13061" width="37.5703125" style="3" customWidth="1"/>
    <col min="13062" max="13063" width="0" style="3" hidden="1" customWidth="1"/>
    <col min="13064" max="13064" width="38.85546875" style="3" customWidth="1"/>
    <col min="13065" max="13065" width="31.5703125" style="3" customWidth="1"/>
    <col min="13066" max="13066" width="0" style="3" hidden="1" customWidth="1"/>
    <col min="13067" max="13067" width="34.5703125" style="3" customWidth="1"/>
    <col min="13068" max="13312" width="9.140625" style="3"/>
    <col min="13313" max="13313" width="40.5703125" style="3" customWidth="1"/>
    <col min="13314" max="13314" width="14.140625" style="3" customWidth="1"/>
    <col min="13315" max="13315" width="255.85546875" style="3" customWidth="1"/>
    <col min="13316" max="13316" width="39.28515625" style="3" customWidth="1"/>
    <col min="13317" max="13317" width="37.5703125" style="3" customWidth="1"/>
    <col min="13318" max="13319" width="0" style="3" hidden="1" customWidth="1"/>
    <col min="13320" max="13320" width="38.85546875" style="3" customWidth="1"/>
    <col min="13321" max="13321" width="31.5703125" style="3" customWidth="1"/>
    <col min="13322" max="13322" width="0" style="3" hidden="1" customWidth="1"/>
    <col min="13323" max="13323" width="34.5703125" style="3" customWidth="1"/>
    <col min="13324" max="13568" width="9.140625" style="3"/>
    <col min="13569" max="13569" width="40.5703125" style="3" customWidth="1"/>
    <col min="13570" max="13570" width="14.140625" style="3" customWidth="1"/>
    <col min="13571" max="13571" width="255.85546875" style="3" customWidth="1"/>
    <col min="13572" max="13572" width="39.28515625" style="3" customWidth="1"/>
    <col min="13573" max="13573" width="37.5703125" style="3" customWidth="1"/>
    <col min="13574" max="13575" width="0" style="3" hidden="1" customWidth="1"/>
    <col min="13576" max="13576" width="38.85546875" style="3" customWidth="1"/>
    <col min="13577" max="13577" width="31.5703125" style="3" customWidth="1"/>
    <col min="13578" max="13578" width="0" style="3" hidden="1" customWidth="1"/>
    <col min="13579" max="13579" width="34.5703125" style="3" customWidth="1"/>
    <col min="13580" max="13824" width="9.140625" style="3"/>
    <col min="13825" max="13825" width="40.5703125" style="3" customWidth="1"/>
    <col min="13826" max="13826" width="14.140625" style="3" customWidth="1"/>
    <col min="13827" max="13827" width="255.85546875" style="3" customWidth="1"/>
    <col min="13828" max="13828" width="39.28515625" style="3" customWidth="1"/>
    <col min="13829" max="13829" width="37.5703125" style="3" customWidth="1"/>
    <col min="13830" max="13831" width="0" style="3" hidden="1" customWidth="1"/>
    <col min="13832" max="13832" width="38.85546875" style="3" customWidth="1"/>
    <col min="13833" max="13833" width="31.5703125" style="3" customWidth="1"/>
    <col min="13834" max="13834" width="0" style="3" hidden="1" customWidth="1"/>
    <col min="13835" max="13835" width="34.5703125" style="3" customWidth="1"/>
    <col min="13836" max="14080" width="9.140625" style="3"/>
    <col min="14081" max="14081" width="40.5703125" style="3" customWidth="1"/>
    <col min="14082" max="14082" width="14.140625" style="3" customWidth="1"/>
    <col min="14083" max="14083" width="255.85546875" style="3" customWidth="1"/>
    <col min="14084" max="14084" width="39.28515625" style="3" customWidth="1"/>
    <col min="14085" max="14085" width="37.5703125" style="3" customWidth="1"/>
    <col min="14086" max="14087" width="0" style="3" hidden="1" customWidth="1"/>
    <col min="14088" max="14088" width="38.85546875" style="3" customWidth="1"/>
    <col min="14089" max="14089" width="31.5703125" style="3" customWidth="1"/>
    <col min="14090" max="14090" width="0" style="3" hidden="1" customWidth="1"/>
    <col min="14091" max="14091" width="34.5703125" style="3" customWidth="1"/>
    <col min="14092" max="14336" width="9.140625" style="3"/>
    <col min="14337" max="14337" width="40.5703125" style="3" customWidth="1"/>
    <col min="14338" max="14338" width="14.140625" style="3" customWidth="1"/>
    <col min="14339" max="14339" width="255.85546875" style="3" customWidth="1"/>
    <col min="14340" max="14340" width="39.28515625" style="3" customWidth="1"/>
    <col min="14341" max="14341" width="37.5703125" style="3" customWidth="1"/>
    <col min="14342" max="14343" width="0" style="3" hidden="1" customWidth="1"/>
    <col min="14344" max="14344" width="38.85546875" style="3" customWidth="1"/>
    <col min="14345" max="14345" width="31.5703125" style="3" customWidth="1"/>
    <col min="14346" max="14346" width="0" style="3" hidden="1" customWidth="1"/>
    <col min="14347" max="14347" width="34.5703125" style="3" customWidth="1"/>
    <col min="14348" max="14592" width="9.140625" style="3"/>
    <col min="14593" max="14593" width="40.5703125" style="3" customWidth="1"/>
    <col min="14594" max="14594" width="14.140625" style="3" customWidth="1"/>
    <col min="14595" max="14595" width="255.85546875" style="3" customWidth="1"/>
    <col min="14596" max="14596" width="39.28515625" style="3" customWidth="1"/>
    <col min="14597" max="14597" width="37.5703125" style="3" customWidth="1"/>
    <col min="14598" max="14599" width="0" style="3" hidden="1" customWidth="1"/>
    <col min="14600" max="14600" width="38.85546875" style="3" customWidth="1"/>
    <col min="14601" max="14601" width="31.5703125" style="3" customWidth="1"/>
    <col min="14602" max="14602" width="0" style="3" hidden="1" customWidth="1"/>
    <col min="14603" max="14603" width="34.5703125" style="3" customWidth="1"/>
    <col min="14604" max="14848" width="9.140625" style="3"/>
    <col min="14849" max="14849" width="40.5703125" style="3" customWidth="1"/>
    <col min="14850" max="14850" width="14.140625" style="3" customWidth="1"/>
    <col min="14851" max="14851" width="255.85546875" style="3" customWidth="1"/>
    <col min="14852" max="14852" width="39.28515625" style="3" customWidth="1"/>
    <col min="14853" max="14853" width="37.5703125" style="3" customWidth="1"/>
    <col min="14854" max="14855" width="0" style="3" hidden="1" customWidth="1"/>
    <col min="14856" max="14856" width="38.85546875" style="3" customWidth="1"/>
    <col min="14857" max="14857" width="31.5703125" style="3" customWidth="1"/>
    <col min="14858" max="14858" width="0" style="3" hidden="1" customWidth="1"/>
    <col min="14859" max="14859" width="34.5703125" style="3" customWidth="1"/>
    <col min="14860" max="15104" width="9.140625" style="3"/>
    <col min="15105" max="15105" width="40.5703125" style="3" customWidth="1"/>
    <col min="15106" max="15106" width="14.140625" style="3" customWidth="1"/>
    <col min="15107" max="15107" width="255.85546875" style="3" customWidth="1"/>
    <col min="15108" max="15108" width="39.28515625" style="3" customWidth="1"/>
    <col min="15109" max="15109" width="37.5703125" style="3" customWidth="1"/>
    <col min="15110" max="15111" width="0" style="3" hidden="1" customWidth="1"/>
    <col min="15112" max="15112" width="38.85546875" style="3" customWidth="1"/>
    <col min="15113" max="15113" width="31.5703125" style="3" customWidth="1"/>
    <col min="15114" max="15114" width="0" style="3" hidden="1" customWidth="1"/>
    <col min="15115" max="15115" width="34.5703125" style="3" customWidth="1"/>
    <col min="15116" max="15360" width="9.140625" style="3"/>
    <col min="15361" max="15361" width="40.5703125" style="3" customWidth="1"/>
    <col min="15362" max="15362" width="14.140625" style="3" customWidth="1"/>
    <col min="15363" max="15363" width="255.85546875" style="3" customWidth="1"/>
    <col min="15364" max="15364" width="39.28515625" style="3" customWidth="1"/>
    <col min="15365" max="15365" width="37.5703125" style="3" customWidth="1"/>
    <col min="15366" max="15367" width="0" style="3" hidden="1" customWidth="1"/>
    <col min="15368" max="15368" width="38.85546875" style="3" customWidth="1"/>
    <col min="15369" max="15369" width="31.5703125" style="3" customWidth="1"/>
    <col min="15370" max="15370" width="0" style="3" hidden="1" customWidth="1"/>
    <col min="15371" max="15371" width="34.5703125" style="3" customWidth="1"/>
    <col min="15372" max="15616" width="9.140625" style="3"/>
    <col min="15617" max="15617" width="40.5703125" style="3" customWidth="1"/>
    <col min="15618" max="15618" width="14.140625" style="3" customWidth="1"/>
    <col min="15619" max="15619" width="255.85546875" style="3" customWidth="1"/>
    <col min="15620" max="15620" width="39.28515625" style="3" customWidth="1"/>
    <col min="15621" max="15621" width="37.5703125" style="3" customWidth="1"/>
    <col min="15622" max="15623" width="0" style="3" hidden="1" customWidth="1"/>
    <col min="15624" max="15624" width="38.85546875" style="3" customWidth="1"/>
    <col min="15625" max="15625" width="31.5703125" style="3" customWidth="1"/>
    <col min="15626" max="15626" width="0" style="3" hidden="1" customWidth="1"/>
    <col min="15627" max="15627" width="34.5703125" style="3" customWidth="1"/>
    <col min="15628" max="15872" width="9.140625" style="3"/>
    <col min="15873" max="15873" width="40.5703125" style="3" customWidth="1"/>
    <col min="15874" max="15874" width="14.140625" style="3" customWidth="1"/>
    <col min="15875" max="15875" width="255.85546875" style="3" customWidth="1"/>
    <col min="15876" max="15876" width="39.28515625" style="3" customWidth="1"/>
    <col min="15877" max="15877" width="37.5703125" style="3" customWidth="1"/>
    <col min="15878" max="15879" width="0" style="3" hidden="1" customWidth="1"/>
    <col min="15880" max="15880" width="38.85546875" style="3" customWidth="1"/>
    <col min="15881" max="15881" width="31.5703125" style="3" customWidth="1"/>
    <col min="15882" max="15882" width="0" style="3" hidden="1" customWidth="1"/>
    <col min="15883" max="15883" width="34.5703125" style="3" customWidth="1"/>
    <col min="15884" max="16128" width="9.140625" style="3"/>
    <col min="16129" max="16129" width="40.5703125" style="3" customWidth="1"/>
    <col min="16130" max="16130" width="14.140625" style="3" customWidth="1"/>
    <col min="16131" max="16131" width="255.85546875" style="3" customWidth="1"/>
    <col min="16132" max="16132" width="39.28515625" style="3" customWidth="1"/>
    <col min="16133" max="16133" width="37.5703125" style="3" customWidth="1"/>
    <col min="16134" max="16135" width="0" style="3" hidden="1" customWidth="1"/>
    <col min="16136" max="16136" width="38.85546875" style="3" customWidth="1"/>
    <col min="16137" max="16137" width="31.5703125" style="3" customWidth="1"/>
    <col min="16138" max="16138" width="0" style="3" hidden="1" customWidth="1"/>
    <col min="16139" max="16139" width="34.5703125" style="3" customWidth="1"/>
    <col min="16140" max="16384" width="9.140625" style="3"/>
  </cols>
  <sheetData>
    <row r="1" spans="1:11" s="2" customFormat="1" ht="35.25" customHeight="1" thickBot="1">
      <c r="A1" s="206" t="s">
        <v>0</v>
      </c>
      <c r="B1" s="209" t="s">
        <v>1</v>
      </c>
      <c r="C1" s="212" t="s">
        <v>2</v>
      </c>
      <c r="D1" s="202" t="s">
        <v>3</v>
      </c>
      <c r="E1" s="215" t="s">
        <v>4</v>
      </c>
      <c r="F1" s="1"/>
      <c r="G1" s="202" t="s">
        <v>5</v>
      </c>
      <c r="H1" s="202" t="s">
        <v>6</v>
      </c>
      <c r="I1" s="203" t="s">
        <v>7</v>
      </c>
      <c r="J1" s="203" t="s">
        <v>8</v>
      </c>
      <c r="K1" s="203" t="s">
        <v>9</v>
      </c>
    </row>
    <row r="2" spans="1:11" ht="9.1999999999999993" hidden="1" customHeight="1">
      <c r="A2" s="207"/>
      <c r="B2" s="210"/>
      <c r="C2" s="213"/>
      <c r="D2" s="202"/>
      <c r="E2" s="216"/>
      <c r="F2" s="1"/>
      <c r="G2" s="202"/>
      <c r="H2" s="202"/>
      <c r="I2" s="204"/>
      <c r="J2" s="204" t="s">
        <v>10</v>
      </c>
      <c r="K2" s="204"/>
    </row>
    <row r="3" spans="1:11" ht="30" customHeight="1" thickBot="1">
      <c r="A3" s="207"/>
      <c r="B3" s="210"/>
      <c r="C3" s="213"/>
      <c r="D3" s="202"/>
      <c r="E3" s="216"/>
      <c r="F3" s="4"/>
      <c r="G3" s="202"/>
      <c r="H3" s="202"/>
      <c r="I3" s="204"/>
      <c r="J3" s="204" t="s">
        <v>11</v>
      </c>
      <c r="K3" s="204"/>
    </row>
    <row r="4" spans="1:11" s="6" customFormat="1" ht="90" customHeight="1" thickBot="1">
      <c r="A4" s="208"/>
      <c r="B4" s="211"/>
      <c r="C4" s="214"/>
      <c r="D4" s="202"/>
      <c r="E4" s="217"/>
      <c r="F4" s="1"/>
      <c r="G4" s="202"/>
      <c r="H4" s="202"/>
      <c r="I4" s="205"/>
      <c r="J4" s="5" t="s">
        <v>12</v>
      </c>
      <c r="K4" s="204"/>
    </row>
    <row r="5" spans="1:11" s="6" customFormat="1" ht="90.75" customHeight="1" thickBot="1">
      <c r="A5" s="7" t="s">
        <v>13</v>
      </c>
      <c r="B5" s="8" t="s">
        <v>14</v>
      </c>
      <c r="C5" s="9" t="s">
        <v>15</v>
      </c>
      <c r="D5" s="10">
        <v>56207</v>
      </c>
      <c r="E5" s="10">
        <v>58820.9</v>
      </c>
      <c r="F5" s="10">
        <v>0</v>
      </c>
      <c r="G5" s="10">
        <v>0</v>
      </c>
      <c r="H5" s="10">
        <v>58601.9</v>
      </c>
      <c r="I5" s="10">
        <v>99.627683357446074</v>
      </c>
      <c r="J5" s="11">
        <v>47836.4</v>
      </c>
      <c r="K5" s="10">
        <v>10765.5</v>
      </c>
    </row>
    <row r="6" spans="1:11" ht="91.5" customHeight="1" thickBot="1">
      <c r="A6" s="8" t="s">
        <v>16</v>
      </c>
      <c r="B6" s="12" t="s">
        <v>17</v>
      </c>
      <c r="C6" s="13" t="s">
        <v>190</v>
      </c>
      <c r="D6" s="10">
        <f>10+50+500</f>
        <v>560</v>
      </c>
      <c r="E6" s="10">
        <f>10+50+500+440</f>
        <v>1000</v>
      </c>
      <c r="F6" s="10"/>
      <c r="G6" s="10"/>
      <c r="H6" s="10">
        <f>389.4+430.7</f>
        <v>820.09999999999991</v>
      </c>
      <c r="I6" s="10">
        <f t="shared" ref="I6:I78" si="0">H6/E6*100</f>
        <v>82.009999999999991</v>
      </c>
      <c r="J6" s="14">
        <v>291.60000000000002</v>
      </c>
      <c r="K6" s="10">
        <f t="shared" ref="K6:K78" si="1">H6-J6</f>
        <v>528.49999999999989</v>
      </c>
    </row>
    <row r="7" spans="1:11" ht="90.75" customHeight="1" thickBot="1">
      <c r="A7" s="8" t="s">
        <v>18</v>
      </c>
      <c r="B7" s="12" t="s">
        <v>19</v>
      </c>
      <c r="C7" s="9" t="s">
        <v>20</v>
      </c>
      <c r="D7" s="10">
        <v>153324.4</v>
      </c>
      <c r="E7" s="10">
        <f>153324.4+97424.3+574.3+73.7+1514-20+4837.8+3663.2+3690-144.2+62.5</f>
        <v>265000</v>
      </c>
      <c r="F7" s="10"/>
      <c r="G7" s="10"/>
      <c r="H7" s="10">
        <f>271273.5-9190</f>
        <v>262083.5</v>
      </c>
      <c r="I7" s="10">
        <f t="shared" si="0"/>
        <v>98.899433962264155</v>
      </c>
      <c r="J7" s="15">
        <v>253683.20000000001</v>
      </c>
      <c r="K7" s="10">
        <f t="shared" si="1"/>
        <v>8400.2999999999884</v>
      </c>
    </row>
    <row r="8" spans="1:11" ht="91.5" customHeight="1" thickBot="1">
      <c r="A8" s="8" t="s">
        <v>21</v>
      </c>
      <c r="B8" s="8" t="s">
        <v>22</v>
      </c>
      <c r="C8" s="9" t="s">
        <v>23</v>
      </c>
      <c r="D8" s="10">
        <f>SUM(D9:D11)</f>
        <v>19458</v>
      </c>
      <c r="E8" s="10">
        <f>SUM(E9:E11)</f>
        <v>21001.200000000001</v>
      </c>
      <c r="F8" s="10">
        <f>SUM(F9:F11)</f>
        <v>0</v>
      </c>
      <c r="G8" s="10">
        <f>SUM(G9:G11)</f>
        <v>0</v>
      </c>
      <c r="H8" s="10">
        <f>SUM(H9:H11)</f>
        <v>16006.599999999999</v>
      </c>
      <c r="I8" s="10">
        <f t="shared" si="0"/>
        <v>76.21754947336342</v>
      </c>
      <c r="J8" s="11">
        <f>J9+J10+J11</f>
        <v>14156.000000000002</v>
      </c>
      <c r="K8" s="10">
        <f t="shared" si="1"/>
        <v>1850.5999999999967</v>
      </c>
    </row>
    <row r="9" spans="1:11" ht="84.75" customHeight="1" thickBot="1">
      <c r="A9" s="16" t="s">
        <v>24</v>
      </c>
      <c r="B9" s="16"/>
      <c r="C9" s="17" t="s">
        <v>25</v>
      </c>
      <c r="D9" s="18">
        <v>15793</v>
      </c>
      <c r="E9" s="18">
        <f xml:space="preserve"> 15793+200</f>
        <v>15993</v>
      </c>
      <c r="F9" s="18"/>
      <c r="G9" s="18"/>
      <c r="H9" s="18">
        <v>11396.8</v>
      </c>
      <c r="I9" s="18">
        <f t="shared" si="0"/>
        <v>71.261176764834616</v>
      </c>
      <c r="J9" s="19">
        <v>10150.200000000001</v>
      </c>
      <c r="K9" s="20">
        <f t="shared" si="1"/>
        <v>1246.5999999999985</v>
      </c>
    </row>
    <row r="10" spans="1:11" ht="83.25" customHeight="1" thickBot="1">
      <c r="A10" s="21" t="s">
        <v>26</v>
      </c>
      <c r="B10" s="21"/>
      <c r="C10" s="22" t="s">
        <v>27</v>
      </c>
      <c r="D10" s="23">
        <v>1370</v>
      </c>
      <c r="E10" s="23">
        <f>1370+300+700</f>
        <v>2370</v>
      </c>
      <c r="F10" s="23"/>
      <c r="G10" s="23"/>
      <c r="H10" s="23">
        <v>2370</v>
      </c>
      <c r="I10" s="23">
        <f t="shared" si="0"/>
        <v>100</v>
      </c>
      <c r="J10" s="24">
        <v>2073.6999999999998</v>
      </c>
      <c r="K10" s="25">
        <f t="shared" si="1"/>
        <v>296.30000000000018</v>
      </c>
    </row>
    <row r="11" spans="1:11" ht="83.25" customHeight="1" thickBot="1">
      <c r="A11" s="26" t="s">
        <v>28</v>
      </c>
      <c r="B11" s="26"/>
      <c r="C11" s="27" t="s">
        <v>29</v>
      </c>
      <c r="D11" s="23">
        <v>2295</v>
      </c>
      <c r="E11" s="23">
        <f>2295+200+69+49.7+24.5</f>
        <v>2638.2</v>
      </c>
      <c r="F11" s="23"/>
      <c r="G11" s="23"/>
      <c r="H11" s="23">
        <v>2239.8000000000002</v>
      </c>
      <c r="I11" s="23">
        <f t="shared" si="0"/>
        <v>84.898794632704139</v>
      </c>
      <c r="J11" s="24">
        <v>1932.1</v>
      </c>
      <c r="K11" s="28">
        <f t="shared" si="1"/>
        <v>307.70000000000027</v>
      </c>
    </row>
    <row r="12" spans="1:11" ht="90.75" customHeight="1" thickBot="1">
      <c r="A12" s="8" t="s">
        <v>30</v>
      </c>
      <c r="B12" s="8" t="s">
        <v>31</v>
      </c>
      <c r="C12" s="9" t="s">
        <v>32</v>
      </c>
      <c r="D12" s="10">
        <f>D13+D20+D24+D25+D31+D32</f>
        <v>18614.899999999998</v>
      </c>
      <c r="E12" s="10">
        <f>E13+E20+E24+E25+E31+E32</f>
        <v>23552.199999999997</v>
      </c>
      <c r="F12" s="10">
        <f>F13+F20+F24+F25+F31+F32</f>
        <v>0</v>
      </c>
      <c r="G12" s="10">
        <f>G13+G20+G24+G25+G31+G32</f>
        <v>0</v>
      </c>
      <c r="H12" s="10">
        <f>H13+H20+H24+H25+H31+H32</f>
        <v>22700.199999999997</v>
      </c>
      <c r="I12" s="10">
        <f t="shared" si="0"/>
        <v>96.382503545316354</v>
      </c>
      <c r="J12" s="29">
        <f>J13+J20+J24+J25+J31+J32+116.3</f>
        <v>19478.900000000001</v>
      </c>
      <c r="K12" s="10">
        <f t="shared" si="1"/>
        <v>3221.2999999999956</v>
      </c>
    </row>
    <row r="13" spans="1:11" ht="90.75" customHeight="1" thickBot="1">
      <c r="A13" s="7"/>
      <c r="B13" s="7" t="s">
        <v>33</v>
      </c>
      <c r="C13" s="30" t="s">
        <v>34</v>
      </c>
      <c r="D13" s="31">
        <f>SUM(D14:D19)</f>
        <v>6842.4</v>
      </c>
      <c r="E13" s="31">
        <f>SUM(E14:E19)</f>
        <v>9481.2000000000007</v>
      </c>
      <c r="F13" s="31">
        <f>SUM(F14:F19)</f>
        <v>0</v>
      </c>
      <c r="G13" s="31">
        <f>SUM(G14:G19)</f>
        <v>0</v>
      </c>
      <c r="H13" s="31">
        <f>SUM(H14:H19)</f>
        <v>8937.7999999999993</v>
      </c>
      <c r="I13" s="31">
        <f t="shared" si="0"/>
        <v>94.26865797578364</v>
      </c>
      <c r="J13" s="32">
        <f>J14+J16+J17+J18+J19+J15</f>
        <v>4076.3999999999996</v>
      </c>
      <c r="K13" s="31">
        <f t="shared" si="1"/>
        <v>4861.3999999999996</v>
      </c>
    </row>
    <row r="14" spans="1:11" ht="84.75" customHeight="1">
      <c r="A14" s="33" t="s">
        <v>35</v>
      </c>
      <c r="B14" s="7"/>
      <c r="C14" s="34" t="s">
        <v>36</v>
      </c>
      <c r="D14" s="35">
        <v>360</v>
      </c>
      <c r="E14" s="35">
        <f>360+60</f>
        <v>420</v>
      </c>
      <c r="F14" s="35"/>
      <c r="G14" s="35"/>
      <c r="H14" s="35">
        <v>420</v>
      </c>
      <c r="I14" s="35">
        <f t="shared" si="0"/>
        <v>100</v>
      </c>
      <c r="J14" s="36">
        <v>255.5</v>
      </c>
      <c r="K14" s="37">
        <f t="shared" si="1"/>
        <v>164.5</v>
      </c>
    </row>
    <row r="15" spans="1:11" ht="84.75" customHeight="1">
      <c r="A15" s="21" t="s">
        <v>37</v>
      </c>
      <c r="B15" s="38"/>
      <c r="C15" s="39" t="s">
        <v>38</v>
      </c>
      <c r="D15" s="23">
        <v>33.9</v>
      </c>
      <c r="E15" s="23">
        <v>33.9</v>
      </c>
      <c r="F15" s="23"/>
      <c r="G15" s="23"/>
      <c r="H15" s="23">
        <v>21.2</v>
      </c>
      <c r="I15" s="23">
        <f t="shared" si="0"/>
        <v>62.536873156342189</v>
      </c>
      <c r="J15" s="40">
        <v>26.5</v>
      </c>
      <c r="K15" s="25">
        <f t="shared" si="1"/>
        <v>-5.3000000000000007</v>
      </c>
    </row>
    <row r="16" spans="1:11" ht="84.75" customHeight="1">
      <c r="A16" s="21" t="s">
        <v>39</v>
      </c>
      <c r="B16" s="38"/>
      <c r="C16" s="39" t="s">
        <v>40</v>
      </c>
      <c r="D16" s="23">
        <v>2000</v>
      </c>
      <c r="E16" s="23">
        <f>2000+850+270.5</f>
        <v>3120.5</v>
      </c>
      <c r="F16" s="23"/>
      <c r="G16" s="23"/>
      <c r="H16" s="23">
        <v>3120.5</v>
      </c>
      <c r="I16" s="23">
        <f t="shared" si="0"/>
        <v>100</v>
      </c>
      <c r="J16" s="41">
        <v>1695.1</v>
      </c>
      <c r="K16" s="42">
        <f t="shared" si="1"/>
        <v>1425.4</v>
      </c>
    </row>
    <row r="17" spans="1:11" ht="155.25" customHeight="1">
      <c r="A17" s="21" t="s">
        <v>41</v>
      </c>
      <c r="B17" s="21"/>
      <c r="C17" s="39" t="s">
        <v>42</v>
      </c>
      <c r="D17" s="18">
        <v>1553.4</v>
      </c>
      <c r="E17" s="18">
        <f>1553.4-430</f>
        <v>1123.4000000000001</v>
      </c>
      <c r="F17" s="18"/>
      <c r="G17" s="18"/>
      <c r="H17" s="18">
        <v>1059.5999999999999</v>
      </c>
      <c r="I17" s="18">
        <f t="shared" si="0"/>
        <v>94.320811821256882</v>
      </c>
      <c r="J17" s="40">
        <v>779.9</v>
      </c>
      <c r="K17" s="43">
        <f t="shared" si="1"/>
        <v>279.69999999999993</v>
      </c>
    </row>
    <row r="18" spans="1:11" ht="106.5" customHeight="1" thickBot="1">
      <c r="A18" s="21" t="s">
        <v>43</v>
      </c>
      <c r="B18" s="21"/>
      <c r="C18" s="39" t="s">
        <v>44</v>
      </c>
      <c r="D18" s="23">
        <v>350</v>
      </c>
      <c r="E18" s="23">
        <f>350+203</f>
        <v>553</v>
      </c>
      <c r="F18" s="23"/>
      <c r="G18" s="23"/>
      <c r="H18" s="23">
        <v>479.3</v>
      </c>
      <c r="I18" s="23">
        <f t="shared" si="0"/>
        <v>86.67269439421338</v>
      </c>
      <c r="J18" s="44">
        <v>150.69999999999999</v>
      </c>
      <c r="K18" s="25">
        <f t="shared" si="1"/>
        <v>328.6</v>
      </c>
    </row>
    <row r="19" spans="1:11" ht="84.75" customHeight="1" thickBot="1">
      <c r="A19" s="26" t="s">
        <v>45</v>
      </c>
      <c r="B19" s="26"/>
      <c r="C19" s="45" t="s">
        <v>46</v>
      </c>
      <c r="D19" s="46">
        <v>2545.1</v>
      </c>
      <c r="E19" s="46">
        <f>2545.1+1030+255.3+400</f>
        <v>4230.3999999999996</v>
      </c>
      <c r="F19" s="46"/>
      <c r="G19" s="46"/>
      <c r="H19" s="46">
        <v>3837.2</v>
      </c>
      <c r="I19" s="46">
        <f t="shared" si="0"/>
        <v>90.705370650529503</v>
      </c>
      <c r="J19" s="47">
        <v>1168.7</v>
      </c>
      <c r="K19" s="28">
        <f t="shared" si="1"/>
        <v>2668.5</v>
      </c>
    </row>
    <row r="20" spans="1:11" ht="91.5" customHeight="1" thickBot="1">
      <c r="A20" s="48"/>
      <c r="B20" s="8" t="s">
        <v>47</v>
      </c>
      <c r="C20" s="49" t="s">
        <v>48</v>
      </c>
      <c r="D20" s="10">
        <f>SUM(D21:D23)</f>
        <v>282.40000000000003</v>
      </c>
      <c r="E20" s="10">
        <f>SUM(E21:E23)</f>
        <v>302.40000000000003</v>
      </c>
      <c r="F20" s="10">
        <f>SUM(F21:F23)</f>
        <v>0</v>
      </c>
      <c r="G20" s="10">
        <f>SUM(G21:G23)</f>
        <v>0</v>
      </c>
      <c r="H20" s="10">
        <f>SUM(H21:H23)</f>
        <v>297.60000000000002</v>
      </c>
      <c r="I20" s="10">
        <f t="shared" si="0"/>
        <v>98.412698412698404</v>
      </c>
      <c r="J20" s="15">
        <f>J21+J22+J23+4500</f>
        <v>4806.8999999999996</v>
      </c>
      <c r="K20" s="10">
        <f t="shared" si="1"/>
        <v>-4509.2999999999993</v>
      </c>
    </row>
    <row r="21" spans="1:11" ht="114.75" customHeight="1">
      <c r="A21" s="50" t="s">
        <v>49</v>
      </c>
      <c r="B21" s="51"/>
      <c r="C21" s="52" t="s">
        <v>50</v>
      </c>
      <c r="D21" s="18">
        <v>191.9</v>
      </c>
      <c r="E21" s="18">
        <f>191.9+20</f>
        <v>211.9</v>
      </c>
      <c r="F21" s="18"/>
      <c r="G21" s="18"/>
      <c r="H21" s="18">
        <v>211.9</v>
      </c>
      <c r="I21" s="18">
        <f t="shared" si="0"/>
        <v>100</v>
      </c>
      <c r="J21" s="40">
        <v>193.8</v>
      </c>
      <c r="K21" s="20">
        <f t="shared" si="1"/>
        <v>18.099999999999994</v>
      </c>
    </row>
    <row r="22" spans="1:11" ht="115.5" customHeight="1" thickBot="1">
      <c r="A22" s="53" t="s">
        <v>51</v>
      </c>
      <c r="B22" s="53"/>
      <c r="C22" s="54" t="s">
        <v>52</v>
      </c>
      <c r="D22" s="23">
        <v>48.4</v>
      </c>
      <c r="E22" s="23">
        <v>48.4</v>
      </c>
      <c r="F22" s="23"/>
      <c r="G22" s="23"/>
      <c r="H22" s="23">
        <v>46.4</v>
      </c>
      <c r="I22" s="23">
        <f t="shared" si="0"/>
        <v>95.867768595041326</v>
      </c>
      <c r="J22" s="19">
        <v>73.7</v>
      </c>
      <c r="K22" s="25">
        <f t="shared" si="1"/>
        <v>-27.300000000000004</v>
      </c>
    </row>
    <row r="23" spans="1:11" ht="117" customHeight="1" thickBot="1">
      <c r="A23" s="53" t="s">
        <v>53</v>
      </c>
      <c r="B23" s="55"/>
      <c r="C23" s="54" t="s">
        <v>54</v>
      </c>
      <c r="D23" s="23">
        <v>42.1</v>
      </c>
      <c r="E23" s="23">
        <v>42.1</v>
      </c>
      <c r="F23" s="23"/>
      <c r="G23" s="23"/>
      <c r="H23" s="23">
        <v>39.299999999999997</v>
      </c>
      <c r="I23" s="23">
        <f t="shared" si="0"/>
        <v>93.349168646080756</v>
      </c>
      <c r="J23" s="24">
        <v>39.4</v>
      </c>
      <c r="K23" s="28">
        <f t="shared" si="1"/>
        <v>-0.10000000000000142</v>
      </c>
    </row>
    <row r="24" spans="1:11" ht="97.5" customHeight="1" thickBot="1">
      <c r="A24" s="8" t="s">
        <v>55</v>
      </c>
      <c r="B24" s="8" t="s">
        <v>56</v>
      </c>
      <c r="C24" s="56" t="s">
        <v>57</v>
      </c>
      <c r="D24" s="10">
        <v>9725</v>
      </c>
      <c r="E24" s="10">
        <f>9725+164+475</f>
        <v>10364</v>
      </c>
      <c r="F24" s="10"/>
      <c r="G24" s="10"/>
      <c r="H24" s="10">
        <v>10265.799999999999</v>
      </c>
      <c r="I24" s="10">
        <f t="shared" si="0"/>
        <v>99.052489386337314</v>
      </c>
      <c r="J24" s="57">
        <v>9355</v>
      </c>
      <c r="K24" s="10">
        <f t="shared" si="1"/>
        <v>910.79999999999927</v>
      </c>
    </row>
    <row r="25" spans="1:11" ht="98.25" customHeight="1" thickBot="1">
      <c r="A25" s="8"/>
      <c r="B25" s="8" t="s">
        <v>58</v>
      </c>
      <c r="C25" s="9" t="s">
        <v>59</v>
      </c>
      <c r="D25" s="10">
        <f>SUM(D26:D30)</f>
        <v>1465.1</v>
      </c>
      <c r="E25" s="10">
        <f>SUM(E26:E30)</f>
        <v>3192.6</v>
      </c>
      <c r="F25" s="10">
        <f>SUM(F26:F30)</f>
        <v>0</v>
      </c>
      <c r="G25" s="10">
        <f>SUM(G26:G30)</f>
        <v>0</v>
      </c>
      <c r="H25" s="10">
        <f>SUM(H26:H30)</f>
        <v>3002</v>
      </c>
      <c r="I25" s="10">
        <f t="shared" si="0"/>
        <v>94.029944246069036</v>
      </c>
      <c r="J25" s="58">
        <f>J26+J27+J29</f>
        <v>993.4</v>
      </c>
      <c r="K25" s="10">
        <f t="shared" si="1"/>
        <v>2008.6</v>
      </c>
    </row>
    <row r="26" spans="1:11" ht="84.75" customHeight="1">
      <c r="A26" s="59" t="s">
        <v>60</v>
      </c>
      <c r="B26" s="59"/>
      <c r="C26" s="60" t="s">
        <v>61</v>
      </c>
      <c r="D26" s="18">
        <v>288.10000000000002</v>
      </c>
      <c r="E26" s="18">
        <f>288.1+49</f>
        <v>337.1</v>
      </c>
      <c r="F26" s="18"/>
      <c r="G26" s="18"/>
      <c r="H26" s="18">
        <v>337</v>
      </c>
      <c r="I26" s="18">
        <f t="shared" si="0"/>
        <v>99.970335212103222</v>
      </c>
      <c r="J26" s="61">
        <v>130.5</v>
      </c>
      <c r="K26" s="20">
        <f t="shared" si="1"/>
        <v>206.5</v>
      </c>
    </row>
    <row r="27" spans="1:11" ht="106.5" customHeight="1">
      <c r="A27" s="59" t="s">
        <v>62</v>
      </c>
      <c r="B27" s="59"/>
      <c r="C27" s="60" t="s">
        <v>63</v>
      </c>
      <c r="D27" s="23">
        <v>1027</v>
      </c>
      <c r="E27" s="23">
        <f>1027-135+105</f>
        <v>997</v>
      </c>
      <c r="F27" s="23"/>
      <c r="G27" s="23"/>
      <c r="H27" s="23">
        <v>954.3</v>
      </c>
      <c r="I27" s="23">
        <f t="shared" si="0"/>
        <v>95.717151454363076</v>
      </c>
      <c r="J27" s="62">
        <v>773.3</v>
      </c>
      <c r="K27" s="25">
        <f t="shared" si="1"/>
        <v>181</v>
      </c>
    </row>
    <row r="28" spans="1:11" ht="131.25" customHeight="1" thickBot="1">
      <c r="A28" s="59" t="s">
        <v>64</v>
      </c>
      <c r="B28" s="59"/>
      <c r="C28" s="39" t="s">
        <v>65</v>
      </c>
      <c r="D28" s="23"/>
      <c r="E28" s="23">
        <f>502.2+716.3</f>
        <v>1218.5</v>
      </c>
      <c r="F28" s="23"/>
      <c r="G28" s="23"/>
      <c r="H28" s="23">
        <v>1210.3</v>
      </c>
      <c r="I28" s="23">
        <f t="shared" si="0"/>
        <v>99.327041444398844</v>
      </c>
      <c r="J28" s="63"/>
      <c r="K28" s="25">
        <f>H28-J28</f>
        <v>1210.3</v>
      </c>
    </row>
    <row r="29" spans="1:11" ht="84.75" customHeight="1" thickBot="1">
      <c r="A29" s="21" t="s">
        <v>66</v>
      </c>
      <c r="B29" s="21"/>
      <c r="C29" s="39" t="s">
        <v>67</v>
      </c>
      <c r="D29" s="23">
        <v>150</v>
      </c>
      <c r="E29" s="23">
        <f>150+30+70-60</f>
        <v>190</v>
      </c>
      <c r="F29" s="23"/>
      <c r="G29" s="23"/>
      <c r="H29" s="23">
        <v>186.4</v>
      </c>
      <c r="I29" s="23">
        <f t="shared" si="0"/>
        <v>98.10526315789474</v>
      </c>
      <c r="J29" s="64">
        <v>89.6</v>
      </c>
      <c r="K29" s="25">
        <f t="shared" si="1"/>
        <v>96.800000000000011</v>
      </c>
    </row>
    <row r="30" spans="1:11" ht="84.75" customHeight="1" thickBot="1">
      <c r="A30" s="21" t="s">
        <v>68</v>
      </c>
      <c r="B30" s="21"/>
      <c r="C30" s="39" t="s">
        <v>69</v>
      </c>
      <c r="D30" s="23"/>
      <c r="E30" s="23">
        <f>450</f>
        <v>450</v>
      </c>
      <c r="F30" s="23"/>
      <c r="G30" s="23"/>
      <c r="H30" s="23">
        <v>314</v>
      </c>
      <c r="I30" s="23">
        <f>H30/E30*100</f>
        <v>69.777777777777786</v>
      </c>
      <c r="J30" s="64"/>
      <c r="K30" s="65">
        <f>H30-J30</f>
        <v>314</v>
      </c>
    </row>
    <row r="31" spans="1:11" ht="96.75" customHeight="1" thickBot="1">
      <c r="A31" s="8" t="s">
        <v>70</v>
      </c>
      <c r="B31" s="8" t="s">
        <v>71</v>
      </c>
      <c r="C31" s="9" t="s">
        <v>72</v>
      </c>
      <c r="D31" s="10">
        <v>212</v>
      </c>
      <c r="E31" s="10">
        <f>212</f>
        <v>212</v>
      </c>
      <c r="F31" s="10"/>
      <c r="G31" s="10"/>
      <c r="H31" s="10">
        <v>197</v>
      </c>
      <c r="I31" s="10">
        <f t="shared" si="0"/>
        <v>92.924528301886795</v>
      </c>
      <c r="J31" s="66">
        <v>82</v>
      </c>
      <c r="K31" s="10">
        <f t="shared" si="1"/>
        <v>115</v>
      </c>
    </row>
    <row r="32" spans="1:11" ht="96.75" customHeight="1" thickBot="1">
      <c r="A32" s="8" t="s">
        <v>73</v>
      </c>
      <c r="B32" s="8" t="s">
        <v>74</v>
      </c>
      <c r="C32" s="9" t="s">
        <v>75</v>
      </c>
      <c r="D32" s="10">
        <f>183-95</f>
        <v>88</v>
      </c>
      <c r="E32" s="10">
        <f>183-88-95</f>
        <v>0</v>
      </c>
      <c r="F32" s="10"/>
      <c r="G32" s="10"/>
      <c r="H32" s="10">
        <v>0</v>
      </c>
      <c r="I32" s="10">
        <v>0</v>
      </c>
      <c r="J32" s="14">
        <v>48.9</v>
      </c>
      <c r="K32" s="10">
        <f t="shared" si="1"/>
        <v>-48.9</v>
      </c>
    </row>
    <row r="33" spans="1:11" ht="100.5" customHeight="1" thickBot="1">
      <c r="A33" s="48" t="s">
        <v>76</v>
      </c>
      <c r="B33" s="67" t="s">
        <v>77</v>
      </c>
      <c r="C33" s="68" t="s">
        <v>78</v>
      </c>
      <c r="D33" s="10">
        <f>SUM(D34:D36)</f>
        <v>23622</v>
      </c>
      <c r="E33" s="10">
        <f>SUM(E34:E36)</f>
        <v>27311.600000000002</v>
      </c>
      <c r="F33" s="10">
        <f>SUM(F34:F36)</f>
        <v>0</v>
      </c>
      <c r="G33" s="10">
        <f>SUM(G34:G36)</f>
        <v>40</v>
      </c>
      <c r="H33" s="10">
        <f>SUM(H34:H36)</f>
        <v>25881.3</v>
      </c>
      <c r="I33" s="10">
        <f>H33/E33*100</f>
        <v>94.763031093015414</v>
      </c>
      <c r="J33" s="58">
        <f>J34+J35+J36</f>
        <v>21216.000000000004</v>
      </c>
      <c r="K33" s="10">
        <f t="shared" si="1"/>
        <v>4665.2999999999956</v>
      </c>
    </row>
    <row r="34" spans="1:11" ht="84.75" customHeight="1">
      <c r="A34" s="16"/>
      <c r="B34" s="69"/>
      <c r="C34" s="70" t="s">
        <v>79</v>
      </c>
      <c r="D34" s="23">
        <v>23027</v>
      </c>
      <c r="E34" s="23">
        <f>23027+1635.5-5+352.7+300+505+393.7-67.3</f>
        <v>26141.600000000002</v>
      </c>
      <c r="F34" s="23"/>
      <c r="G34" s="23"/>
      <c r="H34" s="23">
        <f>16624.1+9190-990.9</f>
        <v>24823.199999999997</v>
      </c>
      <c r="I34" s="23">
        <f t="shared" si="0"/>
        <v>94.956697371239699</v>
      </c>
      <c r="J34" s="62">
        <v>20717.7</v>
      </c>
      <c r="K34" s="20">
        <f t="shared" si="1"/>
        <v>4105.4999999999964</v>
      </c>
    </row>
    <row r="35" spans="1:11" ht="84" customHeight="1">
      <c r="A35" s="59" t="s">
        <v>80</v>
      </c>
      <c r="B35" s="59"/>
      <c r="C35" s="60" t="s">
        <v>81</v>
      </c>
      <c r="D35" s="23">
        <v>595</v>
      </c>
      <c r="E35" s="23">
        <f>595+300+105+70</f>
        <v>1070</v>
      </c>
      <c r="F35" s="23">
        <f>F37+F38+F39+F40+F42</f>
        <v>0</v>
      </c>
      <c r="G35" s="23">
        <f>G37+G38+G39+G40+G42</f>
        <v>0</v>
      </c>
      <c r="H35" s="23">
        <v>990.9</v>
      </c>
      <c r="I35" s="23">
        <f t="shared" si="0"/>
        <v>92.607476635514018</v>
      </c>
      <c r="J35" s="62">
        <v>458.4</v>
      </c>
      <c r="K35" s="25">
        <f t="shared" si="1"/>
        <v>532.5</v>
      </c>
    </row>
    <row r="36" spans="1:11" ht="84.75" customHeight="1" thickBot="1">
      <c r="A36" s="59" t="s">
        <v>73</v>
      </c>
      <c r="B36" s="71"/>
      <c r="C36" s="39" t="s">
        <v>82</v>
      </c>
      <c r="D36" s="72"/>
      <c r="E36" s="23">
        <f>50+50</f>
        <v>100</v>
      </c>
      <c r="F36" s="73"/>
      <c r="G36" s="72">
        <v>40</v>
      </c>
      <c r="H36" s="72">
        <v>67.2</v>
      </c>
      <c r="I36" s="23">
        <f t="shared" si="0"/>
        <v>67.2</v>
      </c>
      <c r="J36" s="74">
        <v>39.9</v>
      </c>
      <c r="K36" s="75">
        <f t="shared" si="1"/>
        <v>27.300000000000004</v>
      </c>
    </row>
    <row r="37" spans="1:11" ht="98.25" customHeight="1" thickBot="1">
      <c r="A37" s="8" t="s">
        <v>83</v>
      </c>
      <c r="B37" s="8" t="s">
        <v>84</v>
      </c>
      <c r="C37" s="68" t="s">
        <v>85</v>
      </c>
      <c r="D37" s="10">
        <f>SUM(D38:D43)</f>
        <v>10532</v>
      </c>
      <c r="E37" s="10">
        <f>SUM(E38:E43)</f>
        <v>11116.4</v>
      </c>
      <c r="F37" s="10">
        <f>SUM(F38:F43)</f>
        <v>0</v>
      </c>
      <c r="G37" s="10">
        <f>SUM(G38:G43)</f>
        <v>0</v>
      </c>
      <c r="H37" s="10">
        <f>SUM(H38:H43)</f>
        <v>10891.1</v>
      </c>
      <c r="I37" s="10">
        <f t="shared" si="0"/>
        <v>97.973264725990433</v>
      </c>
      <c r="J37" s="76">
        <f>J38+J39+J40+J42+J43</f>
        <v>9655.6</v>
      </c>
      <c r="K37" s="10">
        <f t="shared" si="1"/>
        <v>1235.5</v>
      </c>
    </row>
    <row r="38" spans="1:11" ht="84.75" customHeight="1">
      <c r="A38" s="16" t="s">
        <v>86</v>
      </c>
      <c r="B38" s="16"/>
      <c r="C38" s="34" t="s">
        <v>87</v>
      </c>
      <c r="D38" s="23">
        <v>120</v>
      </c>
      <c r="E38" s="23">
        <f>120+70</f>
        <v>190</v>
      </c>
      <c r="F38" s="23"/>
      <c r="G38" s="23"/>
      <c r="H38" s="23">
        <v>188.6</v>
      </c>
      <c r="I38" s="23">
        <f t="shared" si="0"/>
        <v>99.263157894736835</v>
      </c>
      <c r="J38" s="77">
        <v>95.3</v>
      </c>
      <c r="K38" s="20">
        <f t="shared" si="1"/>
        <v>93.3</v>
      </c>
    </row>
    <row r="39" spans="1:11" ht="84.75" customHeight="1">
      <c r="A39" s="21" t="s">
        <v>88</v>
      </c>
      <c r="B39" s="21"/>
      <c r="C39" s="70" t="s">
        <v>89</v>
      </c>
      <c r="D39" s="23">
        <v>5192</v>
      </c>
      <c r="E39" s="23">
        <f>5192+34.2+70-70.3-62.5</f>
        <v>5163.3999999999996</v>
      </c>
      <c r="F39" s="23"/>
      <c r="G39" s="23"/>
      <c r="H39" s="23">
        <v>5110.8999999999996</v>
      </c>
      <c r="I39" s="23">
        <f t="shared" si="0"/>
        <v>98.98322810551187</v>
      </c>
      <c r="J39" s="77">
        <v>5179.8999999999996</v>
      </c>
      <c r="K39" s="25">
        <f t="shared" si="1"/>
        <v>-69</v>
      </c>
    </row>
    <row r="40" spans="1:11" ht="84.75" customHeight="1">
      <c r="A40" s="21" t="s">
        <v>90</v>
      </c>
      <c r="B40" s="21"/>
      <c r="C40" s="70" t="s">
        <v>91</v>
      </c>
      <c r="D40" s="23">
        <v>4070</v>
      </c>
      <c r="E40" s="23">
        <f>4070+18.5+149.9-105</f>
        <v>4133.3999999999996</v>
      </c>
      <c r="F40" s="23"/>
      <c r="G40" s="23"/>
      <c r="H40" s="23">
        <v>3962.5</v>
      </c>
      <c r="I40" s="23">
        <f t="shared" si="0"/>
        <v>95.865389267915049</v>
      </c>
      <c r="J40" s="77">
        <v>3596.3</v>
      </c>
      <c r="K40" s="25">
        <f t="shared" si="1"/>
        <v>366.19999999999982</v>
      </c>
    </row>
    <row r="41" spans="1:11" ht="114.75" customHeight="1">
      <c r="A41" s="21" t="s">
        <v>92</v>
      </c>
      <c r="B41" s="21"/>
      <c r="C41" s="39" t="s">
        <v>93</v>
      </c>
      <c r="D41" s="23"/>
      <c r="E41" s="23">
        <v>19.600000000000001</v>
      </c>
      <c r="F41" s="23"/>
      <c r="G41" s="23"/>
      <c r="H41" s="23">
        <v>19.600000000000001</v>
      </c>
      <c r="I41" s="23">
        <f t="shared" si="0"/>
        <v>100</v>
      </c>
      <c r="J41" s="78"/>
      <c r="K41" s="25">
        <f t="shared" si="1"/>
        <v>19.600000000000001</v>
      </c>
    </row>
    <row r="42" spans="1:11" ht="84.75" customHeight="1" thickBot="1">
      <c r="A42" s="21" t="s">
        <v>94</v>
      </c>
      <c r="B42" s="21"/>
      <c r="C42" s="70" t="s">
        <v>95</v>
      </c>
      <c r="D42" s="23">
        <v>400</v>
      </c>
      <c r="E42" s="23">
        <f>400+100+60</f>
        <v>560</v>
      </c>
      <c r="F42" s="23"/>
      <c r="G42" s="23"/>
      <c r="H42" s="23">
        <v>559.5</v>
      </c>
      <c r="I42" s="23">
        <f t="shared" si="0"/>
        <v>99.910714285714292</v>
      </c>
      <c r="J42" s="79">
        <v>201.9</v>
      </c>
      <c r="K42" s="25">
        <f t="shared" si="1"/>
        <v>357.6</v>
      </c>
    </row>
    <row r="43" spans="1:11" ht="83.25" customHeight="1" thickBot="1">
      <c r="A43" s="26" t="s">
        <v>96</v>
      </c>
      <c r="B43" s="26"/>
      <c r="C43" s="80" t="s">
        <v>97</v>
      </c>
      <c r="D43" s="46">
        <v>750</v>
      </c>
      <c r="E43" s="46">
        <f>750+30+120+150</f>
        <v>1050</v>
      </c>
      <c r="F43" s="46"/>
      <c r="G43" s="46"/>
      <c r="H43" s="46">
        <v>1050</v>
      </c>
      <c r="I43" s="46">
        <f t="shared" si="0"/>
        <v>100</v>
      </c>
      <c r="J43" s="81">
        <v>582.20000000000005</v>
      </c>
      <c r="K43" s="28">
        <f t="shared" si="1"/>
        <v>467.79999999999995</v>
      </c>
    </row>
    <row r="44" spans="1:11" ht="96.75" customHeight="1" thickBot="1">
      <c r="A44" s="8" t="s">
        <v>98</v>
      </c>
      <c r="B44" s="8" t="s">
        <v>99</v>
      </c>
      <c r="C44" s="82" t="s">
        <v>100</v>
      </c>
      <c r="D44" s="10">
        <f>D46+D47+D49+D50+D48+D45</f>
        <v>39720</v>
      </c>
      <c r="E44" s="10">
        <f>E46+E47+E49+E50+E48+E45</f>
        <v>50004.6</v>
      </c>
      <c r="F44" s="10">
        <f>F46+F47+F49+F50+F48+F45</f>
        <v>38850</v>
      </c>
      <c r="G44" s="10">
        <f>G46+G47+G49+G50+G48+G45</f>
        <v>38850</v>
      </c>
      <c r="H44" s="10">
        <f>H46+H47+H49+H50+H48+H45</f>
        <v>49243.700000000004</v>
      </c>
      <c r="I44" s="10">
        <f t="shared" si="0"/>
        <v>98.478339992720677</v>
      </c>
      <c r="J44" s="83">
        <f>J46+J47+J49+J50+895.5</f>
        <v>35951.200000000004</v>
      </c>
      <c r="K44" s="10">
        <f>H44-J44</f>
        <v>13292.5</v>
      </c>
    </row>
    <row r="45" spans="1:11" ht="96.75" customHeight="1" thickBot="1">
      <c r="A45" s="8" t="s">
        <v>73</v>
      </c>
      <c r="B45" s="12" t="s">
        <v>101</v>
      </c>
      <c r="C45" s="84" t="s">
        <v>102</v>
      </c>
      <c r="D45" s="10">
        <v>95</v>
      </c>
      <c r="E45" s="10">
        <v>95</v>
      </c>
      <c r="F45" s="10"/>
      <c r="G45" s="10"/>
      <c r="H45" s="10">
        <v>94.9</v>
      </c>
      <c r="I45" s="10">
        <f t="shared" si="0"/>
        <v>99.894736842105274</v>
      </c>
      <c r="J45" s="83"/>
      <c r="K45" s="10">
        <f>H45-J45</f>
        <v>94.9</v>
      </c>
    </row>
    <row r="46" spans="1:11" ht="96.75" customHeight="1" thickBot="1">
      <c r="A46" s="8" t="s">
        <v>103</v>
      </c>
      <c r="B46" s="8" t="s">
        <v>104</v>
      </c>
      <c r="C46" s="13" t="s">
        <v>105</v>
      </c>
      <c r="D46" s="85">
        <v>50</v>
      </c>
      <c r="E46" s="86">
        <f>50+313+400+400+170</f>
        <v>1333</v>
      </c>
      <c r="F46" s="86"/>
      <c r="G46" s="86"/>
      <c r="H46" s="86">
        <v>1232.0999999999999</v>
      </c>
      <c r="I46" s="87">
        <f t="shared" si="0"/>
        <v>92.430607651912965</v>
      </c>
      <c r="J46" s="83">
        <v>49.9</v>
      </c>
      <c r="K46" s="10">
        <f t="shared" si="1"/>
        <v>1182.1999999999998</v>
      </c>
    </row>
    <row r="47" spans="1:11" ht="98.25" customHeight="1" thickBot="1">
      <c r="A47" s="88" t="s">
        <v>106</v>
      </c>
      <c r="B47" s="89" t="s">
        <v>107</v>
      </c>
      <c r="C47" s="90" t="s">
        <v>108</v>
      </c>
      <c r="D47" s="86">
        <v>1000</v>
      </c>
      <c r="E47" s="86">
        <f>1000+500+119</f>
        <v>1619</v>
      </c>
      <c r="F47" s="86">
        <v>1000</v>
      </c>
      <c r="G47" s="86">
        <v>1000</v>
      </c>
      <c r="H47" s="86">
        <v>1613.2</v>
      </c>
      <c r="I47" s="86">
        <f t="shared" si="0"/>
        <v>99.641754169240272</v>
      </c>
      <c r="J47" s="91">
        <v>1798.2</v>
      </c>
      <c r="K47" s="10">
        <f t="shared" si="1"/>
        <v>-185</v>
      </c>
    </row>
    <row r="48" spans="1:11" ht="107.25" customHeight="1" thickBot="1">
      <c r="A48" s="88" t="s">
        <v>109</v>
      </c>
      <c r="B48" s="8" t="s">
        <v>110</v>
      </c>
      <c r="C48" s="92" t="s">
        <v>111</v>
      </c>
      <c r="D48" s="86"/>
      <c r="E48" s="86">
        <v>199</v>
      </c>
      <c r="F48" s="86"/>
      <c r="G48" s="86"/>
      <c r="H48" s="86">
        <v>199</v>
      </c>
      <c r="I48" s="86">
        <f t="shared" si="0"/>
        <v>100</v>
      </c>
      <c r="J48" s="93">
        <v>0</v>
      </c>
      <c r="K48" s="10">
        <f t="shared" si="1"/>
        <v>199</v>
      </c>
    </row>
    <row r="49" spans="1:11" ht="97.5" customHeight="1" thickBot="1">
      <c r="A49" s="8" t="s">
        <v>112</v>
      </c>
      <c r="B49" s="8" t="s">
        <v>113</v>
      </c>
      <c r="C49" s="82" t="s">
        <v>114</v>
      </c>
      <c r="D49" s="86">
        <v>37850</v>
      </c>
      <c r="E49" s="86">
        <f>37850+3748+365+219+978.6+1558+700+467+28</f>
        <v>45913.599999999999</v>
      </c>
      <c r="F49" s="86">
        <v>37850</v>
      </c>
      <c r="G49" s="86">
        <v>37850</v>
      </c>
      <c r="H49" s="86">
        <v>45489.4</v>
      </c>
      <c r="I49" s="86">
        <f t="shared" si="0"/>
        <v>99.076090744354616</v>
      </c>
      <c r="J49" s="93">
        <v>32983.300000000003</v>
      </c>
      <c r="K49" s="10">
        <f t="shared" si="1"/>
        <v>12506.099999999999</v>
      </c>
    </row>
    <row r="50" spans="1:11" ht="97.5" customHeight="1" thickBot="1">
      <c r="A50" s="8" t="s">
        <v>115</v>
      </c>
      <c r="B50" s="12" t="s">
        <v>116</v>
      </c>
      <c r="C50" s="9" t="s">
        <v>117</v>
      </c>
      <c r="D50" s="86">
        <v>725</v>
      </c>
      <c r="E50" s="86">
        <f>725-240+360</f>
        <v>845</v>
      </c>
      <c r="F50" s="86"/>
      <c r="G50" s="86"/>
      <c r="H50" s="86">
        <v>615.1</v>
      </c>
      <c r="I50" s="86">
        <f t="shared" si="0"/>
        <v>72.792899408284029</v>
      </c>
      <c r="J50" s="57">
        <v>224.3</v>
      </c>
      <c r="K50" s="10">
        <f t="shared" si="1"/>
        <v>390.8</v>
      </c>
    </row>
    <row r="51" spans="1:11" ht="70.5" customHeight="1" thickBot="1">
      <c r="A51" s="8" t="s">
        <v>118</v>
      </c>
      <c r="B51" s="8" t="s">
        <v>119</v>
      </c>
      <c r="C51" s="13" t="s">
        <v>120</v>
      </c>
      <c r="D51" s="94">
        <f>D53</f>
        <v>380</v>
      </c>
      <c r="E51" s="94">
        <f>E52+E53</f>
        <v>268.2</v>
      </c>
      <c r="F51" s="94">
        <f>F52+F53</f>
        <v>0</v>
      </c>
      <c r="G51" s="94">
        <f>G52+G53</f>
        <v>0</v>
      </c>
      <c r="H51" s="94">
        <f>H52+H53</f>
        <v>230.2</v>
      </c>
      <c r="I51" s="94">
        <f t="shared" si="0"/>
        <v>85.831469052945565</v>
      </c>
      <c r="J51" s="95">
        <f>J53</f>
        <v>0</v>
      </c>
      <c r="K51" s="10">
        <f t="shared" si="1"/>
        <v>230.2</v>
      </c>
    </row>
    <row r="52" spans="1:11" ht="69" customHeight="1">
      <c r="A52" s="16" t="s">
        <v>121</v>
      </c>
      <c r="B52" s="16"/>
      <c r="C52" s="34" t="s">
        <v>122</v>
      </c>
      <c r="D52" s="96"/>
      <c r="E52" s="96">
        <f>8.9-2.7</f>
        <v>6.2</v>
      </c>
      <c r="F52" s="96"/>
      <c r="G52" s="96"/>
      <c r="H52" s="96">
        <v>6.2</v>
      </c>
      <c r="I52" s="96">
        <f>H52/E52*100</f>
        <v>100</v>
      </c>
      <c r="J52" s="97"/>
      <c r="K52" s="20">
        <f>H52-J52</f>
        <v>6.2</v>
      </c>
    </row>
    <row r="53" spans="1:11" ht="67.5" customHeight="1" thickBot="1">
      <c r="A53" s="26" t="s">
        <v>123</v>
      </c>
      <c r="B53" s="26"/>
      <c r="C53" s="98" t="s">
        <v>124</v>
      </c>
      <c r="D53" s="99">
        <v>380</v>
      </c>
      <c r="E53" s="99">
        <f>380-18-100</f>
        <v>262</v>
      </c>
      <c r="F53" s="99"/>
      <c r="G53" s="99"/>
      <c r="H53" s="99">
        <v>224</v>
      </c>
      <c r="I53" s="99">
        <f t="shared" si="0"/>
        <v>85.496183206106863</v>
      </c>
      <c r="J53" s="100">
        <v>0</v>
      </c>
      <c r="K53" s="28">
        <f t="shared" si="1"/>
        <v>224</v>
      </c>
    </row>
    <row r="54" spans="1:11" ht="64.5" customHeight="1" thickBot="1">
      <c r="A54" s="8" t="s">
        <v>125</v>
      </c>
      <c r="B54" s="8" t="s">
        <v>126</v>
      </c>
      <c r="C54" s="13" t="s">
        <v>127</v>
      </c>
      <c r="D54" s="94">
        <f>D55+D56</f>
        <v>423</v>
      </c>
      <c r="E54" s="94">
        <f>E55+E56</f>
        <v>123</v>
      </c>
      <c r="F54" s="94">
        <f>F55</f>
        <v>0</v>
      </c>
      <c r="G54" s="94">
        <f>G55</f>
        <v>0</v>
      </c>
      <c r="H54" s="94">
        <f>H55+H56</f>
        <v>106.4</v>
      </c>
      <c r="I54" s="94">
        <f t="shared" si="0"/>
        <v>86.504065040650417</v>
      </c>
      <c r="J54" s="76">
        <f>J55</f>
        <v>0</v>
      </c>
      <c r="K54" s="10">
        <f t="shared" si="1"/>
        <v>106.4</v>
      </c>
    </row>
    <row r="55" spans="1:11" ht="69" customHeight="1">
      <c r="A55" s="16" t="s">
        <v>128</v>
      </c>
      <c r="B55" s="16"/>
      <c r="C55" s="34" t="s">
        <v>129</v>
      </c>
      <c r="D55" s="96">
        <v>423</v>
      </c>
      <c r="E55" s="96">
        <f>423-50-300</f>
        <v>73</v>
      </c>
      <c r="F55" s="96"/>
      <c r="G55" s="96"/>
      <c r="H55" s="96">
        <v>56.5</v>
      </c>
      <c r="I55" s="96">
        <f t="shared" si="0"/>
        <v>77.397260273972606</v>
      </c>
      <c r="J55" s="97"/>
      <c r="K55" s="20">
        <f t="shared" si="1"/>
        <v>56.5</v>
      </c>
    </row>
    <row r="56" spans="1:11" ht="67.5" customHeight="1" thickBot="1">
      <c r="A56" s="26" t="s">
        <v>130</v>
      </c>
      <c r="B56" s="26"/>
      <c r="C56" s="98" t="s">
        <v>131</v>
      </c>
      <c r="D56" s="99"/>
      <c r="E56" s="99">
        <v>50</v>
      </c>
      <c r="F56" s="99"/>
      <c r="G56" s="99"/>
      <c r="H56" s="99">
        <v>49.9</v>
      </c>
      <c r="I56" s="99">
        <f t="shared" si="0"/>
        <v>99.8</v>
      </c>
      <c r="J56" s="101"/>
      <c r="K56" s="28">
        <f t="shared" si="1"/>
        <v>49.9</v>
      </c>
    </row>
    <row r="57" spans="1:11" ht="70.5" customHeight="1" thickBot="1">
      <c r="A57" s="8" t="s">
        <v>132</v>
      </c>
      <c r="B57" s="8" t="s">
        <v>133</v>
      </c>
      <c r="C57" s="13" t="s">
        <v>134</v>
      </c>
      <c r="D57" s="10">
        <f>D58</f>
        <v>10500</v>
      </c>
      <c r="E57" s="10">
        <f>E58</f>
        <v>13144.4</v>
      </c>
      <c r="F57" s="10">
        <f>F58</f>
        <v>0</v>
      </c>
      <c r="G57" s="10">
        <f>G58</f>
        <v>0</v>
      </c>
      <c r="H57" s="10">
        <f>H58</f>
        <v>12633.6</v>
      </c>
      <c r="I57" s="10">
        <f t="shared" si="0"/>
        <v>96.113934451173137</v>
      </c>
      <c r="J57" s="102">
        <f>J58+176.5</f>
        <v>7520.4</v>
      </c>
      <c r="K57" s="10">
        <f t="shared" si="1"/>
        <v>5113.2000000000007</v>
      </c>
    </row>
    <row r="58" spans="1:11" ht="67.5" customHeight="1" thickBot="1">
      <c r="A58" s="103" t="s">
        <v>135</v>
      </c>
      <c r="B58" s="103"/>
      <c r="C58" s="104" t="s">
        <v>136</v>
      </c>
      <c r="D58" s="23">
        <v>10500</v>
      </c>
      <c r="E58" s="23">
        <f>10500+289+2000+100+2099+227.4+600-1404-800-467</f>
        <v>13144.4</v>
      </c>
      <c r="F58" s="23"/>
      <c r="G58" s="23"/>
      <c r="H58" s="23">
        <v>12633.6</v>
      </c>
      <c r="I58" s="23">
        <f t="shared" si="0"/>
        <v>96.113934451173137</v>
      </c>
      <c r="J58" s="77">
        <v>7343.9</v>
      </c>
      <c r="K58" s="105">
        <f t="shared" si="1"/>
        <v>5289.7000000000007</v>
      </c>
    </row>
    <row r="59" spans="1:11" ht="69.75" customHeight="1" thickBot="1">
      <c r="A59" s="8" t="s">
        <v>137</v>
      </c>
      <c r="B59" s="8" t="s">
        <v>138</v>
      </c>
      <c r="C59" s="9" t="s">
        <v>139</v>
      </c>
      <c r="D59" s="10">
        <f>SUM(D60:D63)</f>
        <v>1210.4000000000001</v>
      </c>
      <c r="E59" s="10">
        <f>SUM(E60:E63)</f>
        <v>778.4</v>
      </c>
      <c r="F59" s="94">
        <f>SUM(F60:F63)</f>
        <v>0</v>
      </c>
      <c r="G59" s="94">
        <f>SUM(G60:G63)</f>
        <v>0</v>
      </c>
      <c r="H59" s="94">
        <f>SUM(H60:H63)</f>
        <v>624.69999999999993</v>
      </c>
      <c r="I59" s="94">
        <f t="shared" si="0"/>
        <v>80.254367934224049</v>
      </c>
      <c r="J59" s="93">
        <f>J60+J61+J62+J63</f>
        <v>87.2</v>
      </c>
      <c r="K59" s="10">
        <f t="shared" si="1"/>
        <v>537.49999999999989</v>
      </c>
    </row>
    <row r="60" spans="1:11" ht="68.25" customHeight="1" thickBot="1">
      <c r="A60" s="106" t="s">
        <v>140</v>
      </c>
      <c r="B60" s="107"/>
      <c r="C60" s="34" t="s">
        <v>141</v>
      </c>
      <c r="D60" s="108">
        <v>500</v>
      </c>
      <c r="E60" s="108">
        <f>500-300-100</f>
        <v>100</v>
      </c>
      <c r="F60" s="108"/>
      <c r="G60" s="108"/>
      <c r="H60" s="108">
        <v>0</v>
      </c>
      <c r="I60" s="108">
        <f t="shared" si="0"/>
        <v>0</v>
      </c>
      <c r="J60" s="109">
        <v>0</v>
      </c>
      <c r="K60" s="20">
        <f t="shared" si="1"/>
        <v>0</v>
      </c>
    </row>
    <row r="61" spans="1:11" ht="68.25" customHeight="1" thickBot="1">
      <c r="A61" s="110" t="s">
        <v>142</v>
      </c>
      <c r="B61" s="111"/>
      <c r="C61" s="112" t="s">
        <v>143</v>
      </c>
      <c r="D61" s="108">
        <v>20</v>
      </c>
      <c r="E61" s="108">
        <f>20+18</f>
        <v>38</v>
      </c>
      <c r="F61" s="108"/>
      <c r="G61" s="108"/>
      <c r="H61" s="108">
        <v>28</v>
      </c>
      <c r="I61" s="108">
        <f t="shared" si="0"/>
        <v>73.68421052631578</v>
      </c>
      <c r="J61" s="113">
        <v>0</v>
      </c>
      <c r="K61" s="25">
        <f t="shared" si="1"/>
        <v>28</v>
      </c>
    </row>
    <row r="62" spans="1:11" ht="69" customHeight="1" thickBot="1">
      <c r="A62" s="114" t="s">
        <v>144</v>
      </c>
      <c r="B62" s="115"/>
      <c r="C62" s="116" t="s">
        <v>145</v>
      </c>
      <c r="D62" s="117">
        <v>110</v>
      </c>
      <c r="E62" s="117">
        <f>110+500</f>
        <v>610</v>
      </c>
      <c r="F62" s="117"/>
      <c r="G62" s="117"/>
      <c r="H62" s="117">
        <v>573.4</v>
      </c>
      <c r="I62" s="117">
        <f t="shared" si="0"/>
        <v>94</v>
      </c>
      <c r="J62" s="109">
        <v>74.2</v>
      </c>
      <c r="K62" s="25">
        <f t="shared" si="1"/>
        <v>499.2</v>
      </c>
    </row>
    <row r="63" spans="1:11" ht="68.25" customHeight="1" thickBot="1">
      <c r="A63" s="26" t="s">
        <v>146</v>
      </c>
      <c r="B63" s="26"/>
      <c r="C63" s="118" t="s">
        <v>147</v>
      </c>
      <c r="D63" s="119">
        <v>580.4</v>
      </c>
      <c r="E63" s="119">
        <f>580.4-250-105-195</f>
        <v>30.399999999999977</v>
      </c>
      <c r="F63" s="119"/>
      <c r="G63" s="119"/>
      <c r="H63" s="119">
        <v>23.3</v>
      </c>
      <c r="I63" s="119">
        <f t="shared" si="0"/>
        <v>76.644736842105317</v>
      </c>
      <c r="J63" s="120">
        <v>13</v>
      </c>
      <c r="K63" s="28">
        <f t="shared" si="1"/>
        <v>10.3</v>
      </c>
    </row>
    <row r="64" spans="1:11" ht="69.75" customHeight="1" thickBot="1">
      <c r="A64" s="67" t="s">
        <v>148</v>
      </c>
      <c r="B64" s="8" t="s">
        <v>149</v>
      </c>
      <c r="C64" s="121" t="s">
        <v>150</v>
      </c>
      <c r="D64" s="122">
        <f>D65</f>
        <v>500</v>
      </c>
      <c r="E64" s="122">
        <f>E65</f>
        <v>839.6</v>
      </c>
      <c r="F64" s="122">
        <f>F65</f>
        <v>0</v>
      </c>
      <c r="G64" s="122">
        <f>G65</f>
        <v>0</v>
      </c>
      <c r="H64" s="122">
        <f>H65</f>
        <v>820</v>
      </c>
      <c r="I64" s="122">
        <f t="shared" si="0"/>
        <v>97.665555026202952</v>
      </c>
      <c r="J64" s="123">
        <f>J65</f>
        <v>681.2</v>
      </c>
      <c r="K64" s="10">
        <f t="shared" si="1"/>
        <v>138.79999999999995</v>
      </c>
    </row>
    <row r="65" spans="1:11" ht="68.25" customHeight="1" thickBot="1">
      <c r="A65" s="110" t="s">
        <v>151</v>
      </c>
      <c r="B65" s="111"/>
      <c r="C65" s="112" t="s">
        <v>152</v>
      </c>
      <c r="D65" s="124">
        <v>500</v>
      </c>
      <c r="E65" s="124">
        <f>500+138+98+86.4+17.2</f>
        <v>839.6</v>
      </c>
      <c r="F65" s="124"/>
      <c r="G65" s="124"/>
      <c r="H65" s="124">
        <v>820</v>
      </c>
      <c r="I65" s="124">
        <f t="shared" si="0"/>
        <v>97.665555026202952</v>
      </c>
      <c r="J65" s="125">
        <v>681.2</v>
      </c>
      <c r="K65" s="105">
        <f t="shared" si="1"/>
        <v>138.79999999999995</v>
      </c>
    </row>
    <row r="66" spans="1:11" s="127" customFormat="1" ht="69.75" customHeight="1" thickBot="1">
      <c r="A66" s="67" t="s">
        <v>153</v>
      </c>
      <c r="B66" s="8" t="s">
        <v>154</v>
      </c>
      <c r="C66" s="13" t="s">
        <v>155</v>
      </c>
      <c r="D66" s="122">
        <f>D67+D69+D68</f>
        <v>2000</v>
      </c>
      <c r="E66" s="122">
        <f>E67+E69+E68</f>
        <v>10593.4</v>
      </c>
      <c r="F66" s="122">
        <f>F67+F69+F68</f>
        <v>0</v>
      </c>
      <c r="G66" s="122">
        <f>G67+G69+G68</f>
        <v>0</v>
      </c>
      <c r="H66" s="122">
        <f>H67+H69+H68</f>
        <v>8818.7999999999993</v>
      </c>
      <c r="I66" s="122">
        <f t="shared" si="0"/>
        <v>83.248060112900475</v>
      </c>
      <c r="J66" s="126">
        <f>J67+J69</f>
        <v>6114.3</v>
      </c>
      <c r="K66" s="10">
        <f t="shared" si="1"/>
        <v>2704.4999999999991</v>
      </c>
    </row>
    <row r="67" spans="1:11" s="127" customFormat="1" ht="67.5" customHeight="1" thickBot="1">
      <c r="A67" s="110" t="s">
        <v>156</v>
      </c>
      <c r="B67" s="128"/>
      <c r="C67" s="129" t="s">
        <v>157</v>
      </c>
      <c r="D67" s="130">
        <v>1100</v>
      </c>
      <c r="E67" s="130">
        <f>1100+200+100+300+1700+3000-500</f>
        <v>5900</v>
      </c>
      <c r="F67" s="130"/>
      <c r="G67" s="130"/>
      <c r="H67" s="130">
        <v>5194.8999999999996</v>
      </c>
      <c r="I67" s="130">
        <f t="shared" si="0"/>
        <v>88.04915254237288</v>
      </c>
      <c r="J67" s="109">
        <v>1617.2</v>
      </c>
      <c r="K67" s="20">
        <f t="shared" si="1"/>
        <v>3577.7</v>
      </c>
    </row>
    <row r="68" spans="1:11" s="6" customFormat="1" ht="67.5" customHeight="1">
      <c r="A68" s="110" t="s">
        <v>158</v>
      </c>
      <c r="B68" s="111"/>
      <c r="C68" s="129" t="s">
        <v>159</v>
      </c>
      <c r="D68" s="108"/>
      <c r="E68" s="108">
        <f>13.4+240-40+50</f>
        <v>263.39999999999998</v>
      </c>
      <c r="F68" s="108"/>
      <c r="G68" s="108"/>
      <c r="H68" s="108">
        <v>262.8</v>
      </c>
      <c r="I68" s="130">
        <f>H68/E68*100</f>
        <v>99.772209567198189</v>
      </c>
      <c r="J68" s="113"/>
      <c r="K68" s="43">
        <f t="shared" si="1"/>
        <v>262.8</v>
      </c>
    </row>
    <row r="69" spans="1:11" s="6" customFormat="1" ht="67.5" customHeight="1" thickBot="1">
      <c r="A69" s="131" t="s">
        <v>160</v>
      </c>
      <c r="B69" s="132"/>
      <c r="C69" s="133" t="s">
        <v>161</v>
      </c>
      <c r="D69" s="134">
        <v>900</v>
      </c>
      <c r="E69" s="134">
        <f>900-600+2000+400-1000+1000+730+1000</f>
        <v>4430</v>
      </c>
      <c r="F69" s="134"/>
      <c r="G69" s="134"/>
      <c r="H69" s="134">
        <v>3361.1</v>
      </c>
      <c r="I69" s="134">
        <f t="shared" si="0"/>
        <v>75.871331828442436</v>
      </c>
      <c r="J69" s="113">
        <v>4497.1000000000004</v>
      </c>
      <c r="K69" s="28">
        <f t="shared" si="1"/>
        <v>-1136.0000000000005</v>
      </c>
    </row>
    <row r="70" spans="1:11" s="6" customFormat="1" ht="69" customHeight="1" thickBot="1">
      <c r="A70" s="135">
        <v>8700</v>
      </c>
      <c r="B70" s="8" t="s">
        <v>162</v>
      </c>
      <c r="C70" s="136" t="s">
        <v>163</v>
      </c>
      <c r="D70" s="122">
        <v>10500</v>
      </c>
      <c r="E70" s="122">
        <f>10500-5520-3371.3+1391.3-30.3+1786.5-256.2</f>
        <v>4500</v>
      </c>
      <c r="F70" s="137"/>
      <c r="G70" s="137"/>
      <c r="H70" s="137">
        <v>0</v>
      </c>
      <c r="I70" s="137">
        <f t="shared" si="0"/>
        <v>0</v>
      </c>
      <c r="J70" s="138">
        <v>0</v>
      </c>
      <c r="K70" s="10">
        <f t="shared" si="1"/>
        <v>0</v>
      </c>
    </row>
    <row r="71" spans="1:11" s="6" customFormat="1" ht="69.75" customHeight="1" thickBot="1">
      <c r="A71" s="135">
        <v>9000</v>
      </c>
      <c r="B71" s="8" t="s">
        <v>164</v>
      </c>
      <c r="C71" s="68" t="s">
        <v>165</v>
      </c>
      <c r="D71" s="137">
        <f>D72</f>
        <v>0</v>
      </c>
      <c r="E71" s="122">
        <f>E72+E77+E73+E74+E75+E76</f>
        <v>13552.599999999999</v>
      </c>
      <c r="F71" s="122">
        <f>F72+F77</f>
        <v>0</v>
      </c>
      <c r="G71" s="122">
        <f>G72+G77</f>
        <v>0</v>
      </c>
      <c r="H71" s="122">
        <f>H72+H77+H73+H74+H75+H76</f>
        <v>12517.900000000001</v>
      </c>
      <c r="I71" s="137">
        <f t="shared" si="0"/>
        <v>92.36530259876335</v>
      </c>
      <c r="J71" s="138">
        <f>J72+J77</f>
        <v>1812.7</v>
      </c>
      <c r="K71" s="10">
        <f t="shared" si="1"/>
        <v>10705.2</v>
      </c>
    </row>
    <row r="72" spans="1:11" s="6" customFormat="1" ht="67.5" customHeight="1">
      <c r="A72" s="106">
        <v>9770</v>
      </c>
      <c r="B72" s="139"/>
      <c r="C72" s="140" t="s">
        <v>166</v>
      </c>
      <c r="D72" s="141"/>
      <c r="E72" s="141">
        <v>50</v>
      </c>
      <c r="F72" s="141"/>
      <c r="G72" s="141"/>
      <c r="H72" s="141">
        <v>50</v>
      </c>
      <c r="I72" s="141">
        <f t="shared" si="0"/>
        <v>100</v>
      </c>
      <c r="J72" s="142">
        <v>39</v>
      </c>
      <c r="K72" s="20">
        <f t="shared" si="1"/>
        <v>11</v>
      </c>
    </row>
    <row r="73" spans="1:11" s="6" customFormat="1" ht="67.5" customHeight="1">
      <c r="A73" s="114">
        <v>9770</v>
      </c>
      <c r="B73" s="143"/>
      <c r="C73" s="144" t="s">
        <v>167</v>
      </c>
      <c r="D73" s="145"/>
      <c r="E73" s="145">
        <v>63.8</v>
      </c>
      <c r="F73" s="145"/>
      <c r="G73" s="145"/>
      <c r="H73" s="145">
        <v>31.6</v>
      </c>
      <c r="I73" s="145">
        <f>H73/E73*100</f>
        <v>49.529780564263326</v>
      </c>
      <c r="J73" s="146"/>
      <c r="K73" s="25">
        <f>H73-J73</f>
        <v>31.6</v>
      </c>
    </row>
    <row r="74" spans="1:11" s="6" customFormat="1" ht="67.5" customHeight="1">
      <c r="A74" s="114">
        <v>9770</v>
      </c>
      <c r="B74" s="143"/>
      <c r="C74" s="144" t="s">
        <v>168</v>
      </c>
      <c r="D74" s="145"/>
      <c r="E74" s="145">
        <f>1370+2000</f>
        <v>3370</v>
      </c>
      <c r="F74" s="145"/>
      <c r="G74" s="145"/>
      <c r="H74" s="145">
        <v>2874.3</v>
      </c>
      <c r="I74" s="145">
        <f>H74/E74*100</f>
        <v>85.290801186943625</v>
      </c>
      <c r="J74" s="146"/>
      <c r="K74" s="25">
        <f>H74-J74</f>
        <v>2874.3</v>
      </c>
    </row>
    <row r="75" spans="1:11" s="6" customFormat="1" ht="67.5" customHeight="1">
      <c r="A75" s="114">
        <v>9770</v>
      </c>
      <c r="B75" s="143"/>
      <c r="C75" s="144" t="s">
        <v>169</v>
      </c>
      <c r="D75" s="145"/>
      <c r="E75" s="145">
        <v>500</v>
      </c>
      <c r="F75" s="145"/>
      <c r="G75" s="145"/>
      <c r="H75" s="145">
        <v>250</v>
      </c>
      <c r="I75" s="145">
        <f>H75/E75*100</f>
        <v>50</v>
      </c>
      <c r="J75" s="146"/>
      <c r="K75" s="25">
        <f>H75-J75</f>
        <v>250</v>
      </c>
    </row>
    <row r="76" spans="1:11" s="6" customFormat="1" ht="67.5" customHeight="1">
      <c r="A76" s="114">
        <v>9770</v>
      </c>
      <c r="B76" s="143"/>
      <c r="C76" s="144" t="s">
        <v>170</v>
      </c>
      <c r="D76" s="145"/>
      <c r="E76" s="145">
        <v>200</v>
      </c>
      <c r="F76" s="145"/>
      <c r="G76" s="145"/>
      <c r="H76" s="145">
        <v>200</v>
      </c>
      <c r="I76" s="145">
        <f>H76/E76*100</f>
        <v>100</v>
      </c>
      <c r="J76" s="146"/>
      <c r="K76" s="25">
        <f>H76-J76</f>
        <v>200</v>
      </c>
    </row>
    <row r="77" spans="1:11" s="6" customFormat="1" ht="67.5" customHeight="1" thickBot="1">
      <c r="A77" s="147">
        <v>9800</v>
      </c>
      <c r="B77" s="148"/>
      <c r="C77" s="133" t="s">
        <v>171</v>
      </c>
      <c r="D77" s="149"/>
      <c r="E77" s="149">
        <f>2039+300+700+150+4379.8+2500-700</f>
        <v>9368.7999999999993</v>
      </c>
      <c r="F77" s="149"/>
      <c r="G77" s="149"/>
      <c r="H77" s="149">
        <v>9112</v>
      </c>
      <c r="I77" s="150">
        <f t="shared" si="0"/>
        <v>97.258987276919143</v>
      </c>
      <c r="J77" s="151">
        <v>1773.7</v>
      </c>
      <c r="K77" s="28">
        <f t="shared" si="1"/>
        <v>7338.3</v>
      </c>
    </row>
    <row r="78" spans="1:11" s="6" customFormat="1" ht="69" customHeight="1" thickBot="1">
      <c r="A78" s="152"/>
      <c r="B78" s="153"/>
      <c r="C78" s="154" t="s">
        <v>172</v>
      </c>
      <c r="D78" s="155">
        <f>D5+D6+D7+D8+D12+D33+D37+D44+D51+D54+D57+D59+D64+D66+D70</f>
        <v>347551.7</v>
      </c>
      <c r="E78" s="155">
        <f>E5+E6+E7+E8+E12+E33+E37+E44+E51+E54+E57+E59+E64+E66+E70+E71</f>
        <v>501606.50000000006</v>
      </c>
      <c r="F78" s="155">
        <f>F5+F6+F7+F8+F12+F33+F37+F44+F51+F54+F57+F59+F64+F66+F70</f>
        <v>38850</v>
      </c>
      <c r="G78" s="155">
        <f>G5+G6+G7+G8+G12+G33+G37+G44+G51+G54+G57+G59+G64+G66+G70</f>
        <v>38890</v>
      </c>
      <c r="H78" s="155">
        <f>H5+H6+H7+H8+H12+H33+H37+H44+H51+H54+H57+H59+H64+H66+H70+H71</f>
        <v>481980</v>
      </c>
      <c r="I78" s="155">
        <f t="shared" si="0"/>
        <v>96.087271596360878</v>
      </c>
      <c r="J78" s="156">
        <f>J5+J6+J7+J8+J12+J33+J37+J44+J51+J54+J57+J59+J64+J66+J71</f>
        <v>418484.70000000007</v>
      </c>
      <c r="K78" s="157">
        <f t="shared" si="1"/>
        <v>63495.29999999993</v>
      </c>
    </row>
    <row r="79" spans="1:11" s="6" customFormat="1" ht="70.5" customHeight="1" thickBot="1">
      <c r="A79" s="88"/>
      <c r="B79" s="88"/>
      <c r="C79" s="158" t="s">
        <v>173</v>
      </c>
      <c r="D79" s="159">
        <v>6500</v>
      </c>
      <c r="E79" s="159">
        <f>6500+22259+1221+2166.3+20434.7+7130.1+5600+14657.2+13688.8+192</f>
        <v>93849.1</v>
      </c>
      <c r="F79" s="159"/>
      <c r="G79" s="159"/>
      <c r="H79" s="159">
        <f>69539.6-1401.1-774.6-402.1</f>
        <v>66961.799999999988</v>
      </c>
      <c r="I79" s="159">
        <f t="shared" ref="I79:I88" si="2">H79/E79*100</f>
        <v>71.350497767160249</v>
      </c>
      <c r="J79" s="160">
        <v>35536.699999999997</v>
      </c>
      <c r="K79" s="10">
        <f t="shared" ref="K79:K88" si="3">H79-J79</f>
        <v>31425.099999999991</v>
      </c>
    </row>
    <row r="80" spans="1:11" s="6" customFormat="1" ht="136.5" customHeight="1" thickBot="1">
      <c r="A80" s="88" t="s">
        <v>174</v>
      </c>
      <c r="B80" s="88"/>
      <c r="C80" s="49" t="s">
        <v>175</v>
      </c>
      <c r="D80" s="159"/>
      <c r="E80" s="159">
        <v>1401.4</v>
      </c>
      <c r="F80" s="159"/>
      <c r="G80" s="159"/>
      <c r="H80" s="159">
        <v>1401.1</v>
      </c>
      <c r="I80" s="159">
        <f t="shared" si="2"/>
        <v>99.978592835735682</v>
      </c>
      <c r="J80" s="161"/>
      <c r="K80" s="10">
        <f t="shared" si="3"/>
        <v>1401.1</v>
      </c>
    </row>
    <row r="81" spans="1:11" s="163" customFormat="1" ht="117" customHeight="1" thickBot="1">
      <c r="A81" s="8" t="s">
        <v>176</v>
      </c>
      <c r="B81" s="8"/>
      <c r="C81" s="49" t="s">
        <v>177</v>
      </c>
      <c r="D81" s="122"/>
      <c r="E81" s="122">
        <f>774.6+162.2</f>
        <v>936.8</v>
      </c>
      <c r="F81" s="122"/>
      <c r="G81" s="122"/>
      <c r="H81" s="122">
        <v>774.6</v>
      </c>
      <c r="I81" s="122">
        <f t="shared" si="2"/>
        <v>82.685738684884726</v>
      </c>
      <c r="J81" s="161">
        <v>2691.4</v>
      </c>
      <c r="K81" s="162">
        <f t="shared" si="3"/>
        <v>-1916.8000000000002</v>
      </c>
    </row>
    <row r="82" spans="1:11" s="6" customFormat="1" ht="71.25" customHeight="1" thickBot="1">
      <c r="A82" s="164" t="s">
        <v>178</v>
      </c>
      <c r="B82" s="165"/>
      <c r="C82" s="166" t="s">
        <v>179</v>
      </c>
      <c r="D82" s="167">
        <v>155</v>
      </c>
      <c r="E82" s="167">
        <v>472.2</v>
      </c>
      <c r="F82" s="167"/>
      <c r="G82" s="167"/>
      <c r="H82" s="167">
        <v>402.1</v>
      </c>
      <c r="I82" s="122">
        <f>H82/E82*100</f>
        <v>85.154595510376964</v>
      </c>
      <c r="J82" s="168">
        <v>0</v>
      </c>
      <c r="K82" s="10">
        <f t="shared" si="3"/>
        <v>402.1</v>
      </c>
    </row>
    <row r="83" spans="1:11" s="6" customFormat="1" ht="100.5" customHeight="1" thickBot="1">
      <c r="A83" s="8" t="s">
        <v>180</v>
      </c>
      <c r="B83" s="169"/>
      <c r="C83" s="170" t="s">
        <v>181</v>
      </c>
      <c r="D83" s="122"/>
      <c r="E83" s="122"/>
      <c r="F83" s="122"/>
      <c r="G83" s="122"/>
      <c r="H83" s="122">
        <f>H84+H85</f>
        <v>-2.9</v>
      </c>
      <c r="I83" s="159">
        <v>0</v>
      </c>
      <c r="J83" s="168">
        <f>J84+J85</f>
        <v>-3</v>
      </c>
      <c r="K83" s="10">
        <f t="shared" si="3"/>
        <v>0.10000000000000009</v>
      </c>
    </row>
    <row r="84" spans="1:11" s="6" customFormat="1" ht="69" customHeight="1">
      <c r="A84" s="103" t="s">
        <v>182</v>
      </c>
      <c r="B84" s="171"/>
      <c r="C84" s="172" t="s">
        <v>183</v>
      </c>
      <c r="D84" s="134">
        <v>3.7</v>
      </c>
      <c r="E84" s="134">
        <v>3.7</v>
      </c>
      <c r="F84" s="173">
        <f>F85+F86</f>
        <v>26153.899999999998</v>
      </c>
      <c r="G84" s="173" t="e">
        <f>G85+G86+#REF!</f>
        <v>#REF!</v>
      </c>
      <c r="H84" s="134">
        <v>0</v>
      </c>
      <c r="I84" s="134">
        <f t="shared" si="2"/>
        <v>0</v>
      </c>
      <c r="J84" s="174">
        <v>0</v>
      </c>
      <c r="K84" s="20">
        <f t="shared" si="3"/>
        <v>0</v>
      </c>
    </row>
    <row r="85" spans="1:11" s="6" customFormat="1" ht="67.5" customHeight="1" thickBot="1">
      <c r="A85" s="175" t="s">
        <v>184</v>
      </c>
      <c r="B85" s="176"/>
      <c r="C85" s="177" t="s">
        <v>185</v>
      </c>
      <c r="D85" s="178">
        <v>-3.7</v>
      </c>
      <c r="E85" s="178">
        <v>-3.7</v>
      </c>
      <c r="F85" s="179">
        <f>21365.6-17897.9-486-981.7</f>
        <v>1999.999999999997</v>
      </c>
      <c r="G85" s="179">
        <v>35826</v>
      </c>
      <c r="H85" s="178">
        <v>-2.9</v>
      </c>
      <c r="I85" s="178">
        <f t="shared" si="2"/>
        <v>78.378378378378372</v>
      </c>
      <c r="J85" s="180">
        <v>-3</v>
      </c>
      <c r="K85" s="28">
        <f t="shared" si="3"/>
        <v>0.10000000000000009</v>
      </c>
    </row>
    <row r="86" spans="1:11" s="6" customFormat="1" ht="69" customHeight="1" thickBot="1">
      <c r="A86" s="8"/>
      <c r="B86" s="169"/>
      <c r="C86" s="181" t="s">
        <v>186</v>
      </c>
      <c r="D86" s="122">
        <v>8806.5</v>
      </c>
      <c r="E86" s="122">
        <f>8806.5+1823.9+4645.4+2841.9+1553.7+845.4+4.4+291.1+689.7+594.5+1050.8+1006.6+662.2 +2458.5+172.4</f>
        <v>27447.000000000004</v>
      </c>
      <c r="F86" s="122">
        <f>8806.5+1823.9+4645.4+2841.9+1553.7+845.4+4.4+291.1+689.7+594.5+1050.8+1006.6</f>
        <v>24153.9</v>
      </c>
      <c r="G86" s="122">
        <f>8806.5+1823.9+4645.4+2841.9+1553.7+845.4+4.4+291.1+689.7+594.5+1050.8+1006.6</f>
        <v>24153.9</v>
      </c>
      <c r="H86" s="122">
        <v>26759.1</v>
      </c>
      <c r="I86" s="122">
        <f t="shared" si="2"/>
        <v>97.493715160126769</v>
      </c>
      <c r="J86" s="138">
        <v>19216.400000000001</v>
      </c>
      <c r="K86" s="10">
        <f t="shared" si="3"/>
        <v>7542.6999999999971</v>
      </c>
    </row>
    <row r="87" spans="1:11" s="6" customFormat="1" ht="69" customHeight="1" thickBot="1">
      <c r="A87" s="153"/>
      <c r="B87" s="153"/>
      <c r="C87" s="154" t="s">
        <v>187</v>
      </c>
      <c r="D87" s="155">
        <f>D79+D82+D86</f>
        <v>15461.5</v>
      </c>
      <c r="E87" s="155">
        <f>E79+E82+E86+E81+E80</f>
        <v>124106.5</v>
      </c>
      <c r="F87" s="155">
        <f>F79+F82+F86+F81</f>
        <v>24153.9</v>
      </c>
      <c r="G87" s="155">
        <f>G79+G82+G86+G81</f>
        <v>24153.9</v>
      </c>
      <c r="H87" s="155">
        <f>H79+H82+H86+H81+H83+H80</f>
        <v>96295.800000000017</v>
      </c>
      <c r="I87" s="155">
        <f t="shared" si="2"/>
        <v>77.591262343229417</v>
      </c>
      <c r="J87" s="182">
        <f>J79+J82+J83+J86+J81</f>
        <v>57441.5</v>
      </c>
      <c r="K87" s="157">
        <f t="shared" si="3"/>
        <v>38854.300000000017</v>
      </c>
    </row>
    <row r="88" spans="1:11" s="185" customFormat="1" ht="69" customHeight="1" thickBot="1">
      <c r="A88" s="183"/>
      <c r="B88" s="8"/>
      <c r="C88" s="68" t="s">
        <v>188</v>
      </c>
      <c r="D88" s="122">
        <f>D78+D87</f>
        <v>363013.2</v>
      </c>
      <c r="E88" s="122">
        <f>E78+E87</f>
        <v>625713</v>
      </c>
      <c r="F88" s="122">
        <f>F78+F87</f>
        <v>63003.9</v>
      </c>
      <c r="G88" s="122">
        <f>G78+G87</f>
        <v>63043.9</v>
      </c>
      <c r="H88" s="122">
        <f>H78+H87</f>
        <v>578275.80000000005</v>
      </c>
      <c r="I88" s="122">
        <f t="shared" si="2"/>
        <v>92.418696750746747</v>
      </c>
      <c r="J88" s="184">
        <f>J78+J87</f>
        <v>475926.20000000007</v>
      </c>
      <c r="K88" s="10">
        <f t="shared" si="3"/>
        <v>102349.59999999998</v>
      </c>
    </row>
    <row r="89" spans="1:11" ht="48">
      <c r="A89" s="186"/>
      <c r="B89" s="187"/>
      <c r="C89" s="188"/>
      <c r="D89" s="189"/>
      <c r="E89" s="189"/>
      <c r="F89" s="188"/>
      <c r="G89" s="188"/>
      <c r="H89" s="189"/>
      <c r="I89" s="187"/>
      <c r="J89" s="190"/>
      <c r="K89" s="187"/>
    </row>
    <row r="90" spans="1:11" ht="48">
      <c r="A90" s="186"/>
      <c r="B90" s="187"/>
      <c r="C90" s="188"/>
      <c r="D90" s="187"/>
      <c r="E90" s="187"/>
      <c r="F90" s="188"/>
      <c r="G90" s="188"/>
      <c r="H90" s="187"/>
      <c r="I90" s="187"/>
      <c r="J90" s="190"/>
      <c r="K90" s="187"/>
    </row>
    <row r="91" spans="1:11" ht="42.75">
      <c r="A91" s="191"/>
      <c r="B91" s="192"/>
      <c r="C91" s="193"/>
      <c r="D91" s="192"/>
      <c r="E91" s="194"/>
      <c r="F91" s="195"/>
      <c r="G91" s="195"/>
      <c r="H91" s="194"/>
      <c r="I91" s="194"/>
      <c r="J91" s="196"/>
      <c r="K91" s="194"/>
    </row>
    <row r="92" spans="1:11" ht="42.75">
      <c r="A92" s="191"/>
      <c r="B92" s="192"/>
      <c r="C92" s="193"/>
      <c r="D92" s="192"/>
      <c r="E92" s="194"/>
      <c r="F92" s="195"/>
      <c r="G92" s="195"/>
      <c r="H92" s="194"/>
      <c r="I92" s="194"/>
      <c r="J92" s="196"/>
      <c r="K92" s="194"/>
    </row>
    <row r="93" spans="1:11" ht="42.75">
      <c r="A93" s="191"/>
      <c r="B93" s="192"/>
      <c r="C93" s="193"/>
      <c r="D93" s="192"/>
      <c r="E93" s="194"/>
      <c r="F93" s="195"/>
      <c r="G93" s="195"/>
      <c r="H93" s="194"/>
      <c r="I93" s="194"/>
      <c r="J93" s="196"/>
      <c r="K93" s="194"/>
    </row>
    <row r="108" spans="8:8">
      <c r="H108" s="200" t="s">
        <v>189</v>
      </c>
    </row>
  </sheetData>
  <mergeCells count="10">
    <mergeCell ref="H1:H4"/>
    <mergeCell ref="I1:I4"/>
    <mergeCell ref="J1:J3"/>
    <mergeCell ref="K1:K4"/>
    <mergeCell ref="A1:A4"/>
    <mergeCell ref="B1:B4"/>
    <mergeCell ref="C1:C4"/>
    <mergeCell ref="D1:D4"/>
    <mergeCell ref="E1:E4"/>
    <mergeCell ref="G1:G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Видатки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2024-01-10T13:43:25Z</dcterms:modified>
</cp:coreProperties>
</file>